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tabRatio="825" activeTab="5"/>
  </bookViews>
  <sheets>
    <sheet name="Организация СП" sheetId="11" r:id="rId1"/>
    <sheet name="Реаб оборудование+оргтехника " sheetId="8" r:id="rId2"/>
    <sheet name="Обучение специалистов" sheetId="3" r:id="rId3"/>
    <sheet name="Обучение инвалидов" sheetId="12" r:id="rId4"/>
    <sheet name="Информатизация" sheetId="4" r:id="rId5"/>
    <sheet name="Таблица деньги все" sheetId="6" r:id="rId6"/>
  </sheets>
  <definedNames>
    <definedName name="_xlnm.Print_Area" localSheetId="4">Информатизация!$A$1:$L$7</definedName>
    <definedName name="_xlnm.Print_Area" localSheetId="2">'Обучение специалистов'!$A$1:$M$10</definedName>
    <definedName name="_xlnm.Print_Area" localSheetId="1">'Реаб оборудование+оргтехника '!$A$1:$AQ$100</definedName>
    <definedName name="_xlnm.Print_Area" localSheetId="5">'Таблица деньги все'!$A$1:$AH$5</definedName>
  </definedNames>
  <calcPr calcId="145621"/>
</workbook>
</file>

<file path=xl/calcChain.xml><?xml version="1.0" encoding="utf-8"?>
<calcChain xmlns="http://schemas.openxmlformats.org/spreadsheetml/2006/main">
  <c r="V5" i="6" l="1"/>
  <c r="R13" i="6" s="1"/>
  <c r="N5" i="6"/>
  <c r="R14" i="6"/>
  <c r="P13" i="6"/>
  <c r="Q14" i="6"/>
  <c r="Q13" i="6"/>
  <c r="Q11" i="6"/>
  <c r="L5" i="6"/>
  <c r="C100" i="8" l="1"/>
  <c r="M11" i="3" l="1"/>
  <c r="B6" i="3" l="1"/>
  <c r="D6" i="3" s="1"/>
  <c r="E45" i="8" l="1"/>
  <c r="F40" i="8"/>
  <c r="X41" i="8"/>
  <c r="E63" i="8"/>
  <c r="M5" i="6"/>
  <c r="G6" i="3" l="1"/>
  <c r="F86" i="8"/>
  <c r="E86" i="8"/>
  <c r="H86" i="8" s="1"/>
  <c r="F83" i="8"/>
  <c r="C83" i="8" s="1"/>
  <c r="E83" i="8"/>
  <c r="H83" i="8" s="1"/>
  <c r="F79" i="8"/>
  <c r="E79" i="8"/>
  <c r="H79" i="8" s="1"/>
  <c r="F77" i="8"/>
  <c r="E77" i="8"/>
  <c r="H77" i="8" s="1"/>
  <c r="F72" i="8"/>
  <c r="E72" i="8"/>
  <c r="H72" i="8" s="1"/>
  <c r="AB76" i="8"/>
  <c r="T76" i="8"/>
  <c r="P76" i="8"/>
  <c r="F68" i="8"/>
  <c r="C68" i="8" s="1"/>
  <c r="E68" i="8"/>
  <c r="H68" i="8" s="1"/>
  <c r="AN71" i="8"/>
  <c r="AN72" i="8" s="1"/>
  <c r="AN73" i="8" s="1"/>
  <c r="AN74" i="8" s="1"/>
  <c r="AN75" i="8" s="1"/>
  <c r="AN76" i="8" s="1"/>
  <c r="AJ71" i="8"/>
  <c r="T71" i="8"/>
  <c r="P71" i="8"/>
  <c r="F65" i="8"/>
  <c r="C65" i="8" s="1"/>
  <c r="E65" i="8"/>
  <c r="H65" i="8" s="1"/>
  <c r="AB67" i="8"/>
  <c r="AB68" i="8" s="1"/>
  <c r="AB69" i="8" s="1"/>
  <c r="AB70" i="8" s="1"/>
  <c r="AB71" i="8" s="1"/>
  <c r="T67" i="8"/>
  <c r="P67" i="8"/>
  <c r="H63" i="8"/>
  <c r="F63" i="8"/>
  <c r="C63" i="8" s="1"/>
  <c r="F57" i="8"/>
  <c r="E57" i="8"/>
  <c r="H57" i="8" s="1"/>
  <c r="AN62" i="8"/>
  <c r="AN65" i="8" s="1"/>
  <c r="AN66" i="8" s="1"/>
  <c r="AJ62" i="8"/>
  <c r="AJ65" i="8" s="1"/>
  <c r="X62" i="8"/>
  <c r="F50" i="8"/>
  <c r="E50" i="8"/>
  <c r="H50" i="8" s="1"/>
  <c r="AF56" i="8"/>
  <c r="AF57" i="8" s="1"/>
  <c r="AF58" i="8" s="1"/>
  <c r="AF59" i="8" s="1"/>
  <c r="AF60" i="8" s="1"/>
  <c r="AF61" i="8" s="1"/>
  <c r="AF62" i="8" s="1"/>
  <c r="AB56" i="8"/>
  <c r="AB57" i="8" s="1"/>
  <c r="AB58" i="8" s="1"/>
  <c r="AB59" i="8" s="1"/>
  <c r="AB60" i="8" s="1"/>
  <c r="AB61" i="8" s="1"/>
  <c r="AB62" i="8" s="1"/>
  <c r="F45" i="8"/>
  <c r="C45" i="8" s="1"/>
  <c r="H45" i="8"/>
  <c r="AJ49" i="8"/>
  <c r="C40" i="8"/>
  <c r="E40" i="8"/>
  <c r="AN44" i="8"/>
  <c r="AN45" i="8" s="1"/>
  <c r="AN46" i="8" s="1"/>
  <c r="AN47" i="8" s="1"/>
  <c r="AN48" i="8" s="1"/>
  <c r="AN49" i="8" s="1"/>
  <c r="T44" i="8"/>
  <c r="T45" i="8" s="1"/>
  <c r="T46" i="8" s="1"/>
  <c r="T47" i="8" s="1"/>
  <c r="T48" i="8" s="1"/>
  <c r="T49" i="8" s="1"/>
  <c r="F22" i="8"/>
  <c r="C22" i="8" s="1"/>
  <c r="E22" i="8"/>
  <c r="H22" i="8" s="1"/>
  <c r="C50" i="8" l="1"/>
  <c r="C77" i="8"/>
  <c r="C57" i="8"/>
  <c r="C72" i="8"/>
  <c r="C79" i="8"/>
  <c r="C86" i="8"/>
  <c r="AJ66" i="8"/>
  <c r="AJ67" i="8" s="1"/>
  <c r="H40" i="8"/>
  <c r="AN67" i="8"/>
  <c r="AF39" i="8"/>
  <c r="AB39" i="8"/>
  <c r="F19" i="8"/>
  <c r="E19" i="8"/>
  <c r="AN21" i="8"/>
  <c r="AN22" i="8" s="1"/>
  <c r="AN23" i="8" s="1"/>
  <c r="AN24" i="8" s="1"/>
  <c r="AN25" i="8" s="1"/>
  <c r="AN26" i="8" s="1"/>
  <c r="AN27" i="8" s="1"/>
  <c r="AN28" i="8" s="1"/>
  <c r="AN29" i="8" s="1"/>
  <c r="AN30" i="8" s="1"/>
  <c r="AN31" i="8" s="1"/>
  <c r="AN32" i="8" s="1"/>
  <c r="AN33" i="8" s="1"/>
  <c r="AN34" i="8" s="1"/>
  <c r="AN35" i="8" s="1"/>
  <c r="AN36" i="8" s="1"/>
  <c r="AN37" i="8" s="1"/>
  <c r="AN38" i="8" s="1"/>
  <c r="AN39" i="8" s="1"/>
  <c r="AJ21" i="8"/>
  <c r="AJ22" i="8" s="1"/>
  <c r="AJ23" i="8" s="1"/>
  <c r="AJ24" i="8" s="1"/>
  <c r="AJ25" i="8" s="1"/>
  <c r="AJ26" i="8" s="1"/>
  <c r="AJ27" i="8" s="1"/>
  <c r="AJ28" i="8" s="1"/>
  <c r="AJ29" i="8" s="1"/>
  <c r="AJ30" i="8" s="1"/>
  <c r="AJ31" i="8" s="1"/>
  <c r="AJ32" i="8" s="1"/>
  <c r="AJ33" i="8" s="1"/>
  <c r="AJ34" i="8" s="1"/>
  <c r="AJ35" i="8" s="1"/>
  <c r="AJ36" i="8" s="1"/>
  <c r="AJ37" i="8" s="1"/>
  <c r="AJ38" i="8" s="1"/>
  <c r="AJ39" i="8" s="1"/>
  <c r="AF21" i="8"/>
  <c r="X21" i="8"/>
  <c r="T21" i="8"/>
  <c r="P20" i="8"/>
  <c r="P30" i="8" s="1"/>
  <c r="P39" i="8" s="1"/>
  <c r="P21" i="8"/>
  <c r="E15" i="8"/>
  <c r="H15" i="8" s="1"/>
  <c r="F15" i="8"/>
  <c r="C15" i="8" s="1"/>
  <c r="AN18" i="8"/>
  <c r="AJ18" i="8"/>
  <c r="P23" i="8"/>
  <c r="P24" i="8"/>
  <c r="P33" i="8" s="1"/>
  <c r="P25" i="8"/>
  <c r="P34" i="8" s="1"/>
  <c r="P26" i="8"/>
  <c r="P27" i="8"/>
  <c r="P28" i="8"/>
  <c r="P32" i="8"/>
  <c r="P35" i="8"/>
  <c r="P36" i="8"/>
  <c r="P37" i="8"/>
  <c r="C12" i="8"/>
  <c r="F12" i="8"/>
  <c r="E12" i="8"/>
  <c r="H12" i="8" s="1"/>
  <c r="E6" i="8"/>
  <c r="H6" i="8" s="1"/>
  <c r="AN14" i="8"/>
  <c r="AF14" i="8"/>
  <c r="AF15" i="8" s="1"/>
  <c r="AF16" i="8" s="1"/>
  <c r="AF17" i="8" s="1"/>
  <c r="AF18" i="8" s="1"/>
  <c r="AB14" i="8"/>
  <c r="F6" i="8"/>
  <c r="C6" i="8" l="1"/>
  <c r="E100" i="8"/>
  <c r="H19" i="8"/>
  <c r="C19" i="8"/>
  <c r="P40" i="8"/>
  <c r="P41" i="8" s="1"/>
  <c r="P42" i="8" s="1"/>
  <c r="P43" i="8" s="1"/>
  <c r="P44" i="8" s="1"/>
  <c r="P45" i="8" s="1"/>
  <c r="P46" i="8" s="1"/>
  <c r="P47" i="8" s="1"/>
  <c r="P48" i="8" s="1"/>
  <c r="P49" i="8" s="1"/>
  <c r="T61" i="8"/>
  <c r="T60" i="8"/>
  <c r="T59" i="8"/>
  <c r="T58" i="8"/>
  <c r="T57" i="8"/>
  <c r="C101" i="8" l="1"/>
  <c r="P50" i="8"/>
  <c r="P51" i="8" s="1"/>
  <c r="P52" i="8" s="1"/>
  <c r="P53" i="8" s="1"/>
  <c r="P54" i="8" s="1"/>
  <c r="P55" i="8" s="1"/>
  <c r="P56" i="8" s="1"/>
  <c r="P57" i="8" s="1"/>
  <c r="T62" i="8"/>
  <c r="U5" i="6"/>
  <c r="K5" i="6"/>
  <c r="W5" i="6"/>
  <c r="D5" i="6" s="1"/>
  <c r="B5" i="6" l="1"/>
  <c r="B6" i="6" s="1"/>
  <c r="B7" i="6" s="1"/>
  <c r="G40" i="8"/>
  <c r="G57" i="8"/>
  <c r="G86" i="8"/>
  <c r="G72" i="8"/>
  <c r="G22" i="8"/>
  <c r="G45" i="8"/>
  <c r="G65" i="8"/>
  <c r="G79" i="8"/>
  <c r="G68" i="8"/>
  <c r="G63" i="8"/>
  <c r="G83" i="8"/>
  <c r="G50" i="8"/>
  <c r="G77" i="8"/>
  <c r="G6" i="8"/>
  <c r="G15" i="8"/>
  <c r="G19" i="8"/>
  <c r="G12" i="8"/>
  <c r="P58" i="8"/>
  <c r="P59" i="8" s="1"/>
  <c r="P60" i="8" s="1"/>
  <c r="P61" i="8" s="1"/>
  <c r="J6" i="6"/>
  <c r="X55" i="8"/>
  <c r="X54" i="8"/>
  <c r="X53" i="8"/>
  <c r="X52" i="8"/>
  <c r="X51" i="8"/>
  <c r="X50" i="8"/>
  <c r="AN50" i="8"/>
  <c r="AN56" i="8" s="1"/>
  <c r="AJ50" i="8"/>
  <c r="AJ56" i="8" s="1"/>
  <c r="T52" i="8"/>
  <c r="T51" i="8"/>
  <c r="T50" i="8"/>
  <c r="AF48" i="8"/>
  <c r="AF47" i="8"/>
  <c r="AF46" i="8"/>
  <c r="AF45" i="8"/>
  <c r="AB47" i="8"/>
  <c r="AB46" i="8"/>
  <c r="AB45" i="8"/>
  <c r="X46" i="8"/>
  <c r="X45" i="8"/>
  <c r="AJ40" i="8"/>
  <c r="AJ44" i="8" s="1"/>
  <c r="AF43" i="8"/>
  <c r="AF42" i="8"/>
  <c r="AF41" i="8"/>
  <c r="AF40" i="8"/>
  <c r="AB42" i="8"/>
  <c r="AB41" i="8"/>
  <c r="AB40" i="8"/>
  <c r="X40" i="8"/>
  <c r="T56" i="8" l="1"/>
  <c r="X49" i="8"/>
  <c r="AR40" i="8"/>
  <c r="X44" i="8"/>
  <c r="P62" i="8"/>
  <c r="B62" i="8" s="1"/>
  <c r="X56" i="8"/>
  <c r="B56" i="8" s="1"/>
  <c r="AF49" i="8"/>
  <c r="AB49" i="8"/>
  <c r="AF44" i="8"/>
  <c r="AB44" i="8"/>
  <c r="AR41" i="8"/>
  <c r="B44" i="8" l="1"/>
  <c r="B49" i="8"/>
  <c r="B8" i="6"/>
  <c r="AN10" i="8"/>
  <c r="AN8" i="8"/>
  <c r="AJ7" i="8"/>
  <c r="AF8" i="8"/>
  <c r="AB7" i="8"/>
  <c r="AR99" i="8" l="1"/>
  <c r="P6" i="8" l="1"/>
  <c r="P11" i="8" s="1"/>
  <c r="AF70" i="8"/>
  <c r="AF69" i="8"/>
  <c r="X69" i="8"/>
  <c r="AF68" i="8"/>
  <c r="X68" i="8"/>
  <c r="X63" i="8"/>
  <c r="AN9" i="8"/>
  <c r="AN7" i="8"/>
  <c r="AN6" i="8"/>
  <c r="AN98" i="8"/>
  <c r="AR98" i="8" s="1"/>
  <c r="AN97" i="8"/>
  <c r="AR97" i="8" s="1"/>
  <c r="AN96" i="8"/>
  <c r="AR96" i="8" s="1"/>
  <c r="AN95" i="8"/>
  <c r="AR95" i="8" s="1"/>
  <c r="AN94" i="8"/>
  <c r="AR94" i="8" s="1"/>
  <c r="AN93" i="8"/>
  <c r="AR93" i="8" s="1"/>
  <c r="AN92" i="8"/>
  <c r="AR92" i="8" s="1"/>
  <c r="AN91" i="8"/>
  <c r="AR91" i="8" s="1"/>
  <c r="AN90" i="8"/>
  <c r="AR90" i="8" s="1"/>
  <c r="AN89" i="8"/>
  <c r="AR89" i="8" s="1"/>
  <c r="AN88" i="8"/>
  <c r="AR88" i="8" s="1"/>
  <c r="AN87" i="8"/>
  <c r="AN86" i="8"/>
  <c r="AJ12" i="8"/>
  <c r="AJ14" i="8" s="1"/>
  <c r="AJ6" i="8"/>
  <c r="AJ11" i="8" s="1"/>
  <c r="AJ84" i="8"/>
  <c r="AJ83" i="8"/>
  <c r="AR83" i="8" s="1"/>
  <c r="AJ72" i="8"/>
  <c r="AJ76" i="8" s="1"/>
  <c r="AF9" i="8"/>
  <c r="AF7" i="8"/>
  <c r="AF6" i="8"/>
  <c r="AF11" i="8" s="1"/>
  <c r="AF75" i="8"/>
  <c r="AF74" i="8"/>
  <c r="AR74" i="8" s="1"/>
  <c r="AF73" i="8"/>
  <c r="AR73" i="8" s="1"/>
  <c r="AF72" i="8"/>
  <c r="AN100" i="8" l="1"/>
  <c r="AN11" i="8"/>
  <c r="X71" i="8"/>
  <c r="AR70" i="8"/>
  <c r="AF71" i="8"/>
  <c r="AR75" i="8"/>
  <c r="AF76" i="8"/>
  <c r="AR84" i="8"/>
  <c r="AJ85" i="8"/>
  <c r="B85" i="8" s="1"/>
  <c r="P19" i="8"/>
  <c r="P29" i="8" s="1"/>
  <c r="P38" i="8" s="1"/>
  <c r="P22" i="8"/>
  <c r="P31" i="8" s="1"/>
  <c r="AR69" i="8"/>
  <c r="AR68" i="8"/>
  <c r="AN101" i="8"/>
  <c r="AS83" i="8"/>
  <c r="AR87" i="8"/>
  <c r="AF65" i="8"/>
  <c r="AF67" i="8" s="1"/>
  <c r="AB15" i="8"/>
  <c r="AB20" i="8"/>
  <c r="AB19" i="8"/>
  <c r="AR19" i="8" s="1"/>
  <c r="AB17" i="8"/>
  <c r="AB16" i="8"/>
  <c r="AR16" i="8" s="1"/>
  <c r="AB6" i="8"/>
  <c r="AB11" i="8" s="1"/>
  <c r="X22" i="8"/>
  <c r="X39" i="8" s="1"/>
  <c r="X15" i="8"/>
  <c r="X18" i="8" s="1"/>
  <c r="X13" i="8"/>
  <c r="X12" i="8"/>
  <c r="X81" i="8"/>
  <c r="X80" i="8"/>
  <c r="AR80" i="8" s="1"/>
  <c r="X79" i="8"/>
  <c r="AR79" i="8" s="1"/>
  <c r="T10" i="8"/>
  <c r="T9" i="8"/>
  <c r="T8" i="8"/>
  <c r="T7" i="8"/>
  <c r="T6" i="8"/>
  <c r="X9" i="8"/>
  <c r="X8" i="8"/>
  <c r="X7" i="8"/>
  <c r="X6" i="8"/>
  <c r="X86" i="8"/>
  <c r="X72" i="8"/>
  <c r="X66" i="8"/>
  <c r="X65" i="8"/>
  <c r="T38" i="8"/>
  <c r="AR38" i="8" s="1"/>
  <c r="T37" i="8"/>
  <c r="AR37" i="8" s="1"/>
  <c r="T36" i="8"/>
  <c r="AR36" i="8" s="1"/>
  <c r="T35" i="8"/>
  <c r="AR35" i="8" s="1"/>
  <c r="T34" i="8"/>
  <c r="AR34" i="8" s="1"/>
  <c r="T33" i="8"/>
  <c r="AR33" i="8" s="1"/>
  <c r="T32" i="8"/>
  <c r="AR32" i="8" s="1"/>
  <c r="T31" i="8"/>
  <c r="T30" i="8"/>
  <c r="AR30" i="8" s="1"/>
  <c r="T29" i="8"/>
  <c r="T28" i="8"/>
  <c r="AR28" i="8" s="1"/>
  <c r="T27" i="8"/>
  <c r="AR27" i="8" s="1"/>
  <c r="T26" i="8"/>
  <c r="AR26" i="8" s="1"/>
  <c r="T25" i="8"/>
  <c r="AR25" i="8" s="1"/>
  <c r="T24" i="8"/>
  <c r="AR24" i="8" s="1"/>
  <c r="T23" i="8"/>
  <c r="AR23" i="8" s="1"/>
  <c r="T22" i="8"/>
  <c r="T15" i="8"/>
  <c r="T13" i="8"/>
  <c r="AR13" i="8" s="1"/>
  <c r="T12" i="8"/>
  <c r="T77" i="8"/>
  <c r="B78" i="8" s="1"/>
  <c r="T63" i="8"/>
  <c r="B64" i="8" s="1"/>
  <c r="AJ101" i="8" l="1"/>
  <c r="X14" i="8"/>
  <c r="X11" i="8"/>
  <c r="T11" i="8"/>
  <c r="B71" i="8"/>
  <c r="AB18" i="8"/>
  <c r="AR17" i="8"/>
  <c r="AR15" i="8"/>
  <c r="T18" i="8"/>
  <c r="T39" i="8" s="1"/>
  <c r="B39" i="8" s="1"/>
  <c r="AR31" i="8"/>
  <c r="AR20" i="8"/>
  <c r="AS19" i="8" s="1"/>
  <c r="AB21" i="8"/>
  <c r="B21" i="8" s="1"/>
  <c r="AR66" i="8"/>
  <c r="X67" i="8"/>
  <c r="B67" i="8" s="1"/>
  <c r="AF101" i="8"/>
  <c r="AR72" i="8"/>
  <c r="AS72" i="8" s="1"/>
  <c r="X76" i="8"/>
  <c r="B76" i="8" s="1"/>
  <c r="AR77" i="8"/>
  <c r="AS77" i="8" s="1"/>
  <c r="AR81" i="8"/>
  <c r="X82" i="8"/>
  <c r="B82" i="8" s="1"/>
  <c r="AR86" i="8"/>
  <c r="AS86" i="8" s="1"/>
  <c r="X100" i="8"/>
  <c r="B100" i="8" s="1"/>
  <c r="AR29" i="8"/>
  <c r="AR12" i="8"/>
  <c r="AS12" i="8" s="1"/>
  <c r="T14" i="8"/>
  <c r="AR10" i="8"/>
  <c r="AR63" i="8"/>
  <c r="AS63" i="8" s="1"/>
  <c r="AS68" i="8"/>
  <c r="AR65" i="8"/>
  <c r="AS79" i="8"/>
  <c r="AR6" i="8"/>
  <c r="AR7" i="8"/>
  <c r="AR8" i="8"/>
  <c r="AR9" i="8"/>
  <c r="AR22" i="8"/>
  <c r="B14" i="8" l="1"/>
  <c r="B6" i="8"/>
  <c r="B11" i="8" s="1"/>
  <c r="AB101" i="8"/>
  <c r="AS15" i="8"/>
  <c r="B18" i="8"/>
  <c r="AS22" i="8"/>
  <c r="AS65" i="8"/>
  <c r="X101" i="8"/>
  <c r="T101" i="8"/>
  <c r="AR39" i="8"/>
  <c r="AR101" i="8" s="1"/>
  <c r="AS6" i="8"/>
  <c r="B101" i="8" l="1"/>
  <c r="X5" i="6"/>
  <c r="D8" i="6" l="1"/>
</calcChain>
</file>

<file path=xl/sharedStrings.xml><?xml version="1.0" encoding="utf-8"?>
<sst xmlns="http://schemas.openxmlformats.org/spreadsheetml/2006/main" count="342" uniqueCount="259">
  <si>
    <t>Название субъекта Российской Федерации</t>
  </si>
  <si>
    <t>количество часов обучения</t>
  </si>
  <si>
    <t>сфера деятельности специалистов, которых планируется обучать**</t>
  </si>
  <si>
    <t>** Специалисты в разных сферах деятельности учитываются отдельно.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</si>
  <si>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</si>
  <si>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</si>
  <si>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название информационной системы субъекта Российской Федерации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</si>
  <si>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</si>
  <si>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</si>
  <si>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</si>
  <si>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</si>
  <si>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</si>
  <si>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</si>
  <si>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</si>
  <si>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</si>
  <si>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</si>
  <si>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</si>
  <si>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</si>
  <si>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Информация об организациях региона, подлежащих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</si>
  <si>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средняя стоимость единицы планируемой к приобретению техники, оргтехники, программного обеспечения, тыс. руб.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</si>
  <si>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</si>
  <si>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название мероприятия по обучению специалистов*</t>
  </si>
  <si>
    <t>объем средств бюджета субъекта Российской Федерации, тыс. руб.</t>
  </si>
  <si>
    <t>объем средств субсидии из федерального бюджета, тыс. руб.</t>
  </si>
  <si>
    <t>общий объем средств,        тыс. руб.</t>
  </si>
  <si>
    <t>доля средств бюджета субъекта Российской Федерации от общего объема средств, %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</si>
  <si>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</si>
  <si>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</si>
  <si>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</si>
  <si>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число специалистов, которых планируется обучать, чел.**</t>
  </si>
  <si>
    <t>социально-психологическая реабилитация и абилитаиция</t>
  </si>
  <si>
    <t>стоимость мероприятия по обучению специалистов, тыс. руб.</t>
  </si>
  <si>
    <t>Информация о мероприятиях по обучению специалистов за счет средств субсидии из федерального бюджета</t>
  </si>
  <si>
    <t>название программы  обучения специалистов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</si>
  <si>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</si>
  <si>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план по приобретению (название, количество)**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</si>
  <si>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</si>
  <si>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</si>
  <si>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средства субсидии,  из федерального бюджета, запланированные на мероприятие </t>
  </si>
  <si>
    <t>общий объем средств, запланированный на проведение соответствующего мероприятия</t>
  </si>
  <si>
    <t>финансосове обеспечение мероприятия, тыс. руб.</t>
  </si>
  <si>
    <t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а также указывается соответствующий пункт (пункты) перечня мероприятий согласно проекту региональной программы.</t>
  </si>
  <si>
    <t>общий объем средств,         тыс. руб.</t>
  </si>
  <si>
    <t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</si>
  <si>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>Общая 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</si>
  <si>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объем средств субсидии из федерального бюджета, запланированных на мероприятие,       тыс. руб.</t>
  </si>
  <si>
    <t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</si>
  <si>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>Чувашская Республика</t>
  </si>
  <si>
    <t xml:space="preserve">Программы экранного доступа, позволяющие работать инвалидам по зрению на персональном компьютере, 1 ед.
</t>
  </si>
  <si>
    <t xml:space="preserve">Компьютеры, вспомогательные и альтернативные принадлежности для компьютеров, 1 ед.
</t>
  </si>
  <si>
    <t>Мнемосхемы, в том числе тактильные и звуковые, предупреждающие указатели,        1 ед.</t>
  </si>
  <si>
    <t>Информационные стенды со шрифтом Брайля, 2 ед.</t>
  </si>
  <si>
    <t xml:space="preserve">Система сканирования и чтения плоскопечатных текстов, 1 ед.
</t>
  </si>
  <si>
    <t>Кресло-коляска с ручным приводом (комнатная, прогулочная, активного типа), 1 ед.</t>
  </si>
  <si>
    <t>Кресло-коляска с ручным приводом (комнатная, прогулочная, активного типа),     1 ед.</t>
  </si>
  <si>
    <t>Брайлевский дисплей с программным обеспечением экранного доступа и увеличения экрана, 1 ед.</t>
  </si>
  <si>
    <t>Мнемосхемы, в том числе тактильные и звуковые, предупреждающие указатели,     1 ед.</t>
  </si>
  <si>
    <t>Подъемные устройства (в том числе для лестничных маршей),   1 ед.</t>
  </si>
  <si>
    <t>Программы экранного доступа, позволяющие работать инвалидам по зрению на персональном компьютере, 2 ед.</t>
  </si>
  <si>
    <t>Компьютеры, вспомогательные и альтернативные принадлежности для компьютеров, 3 ед.</t>
  </si>
  <si>
    <t xml:space="preserve">Электронное увеличивающее устройство для слабовидящих,  3 ед.
</t>
  </si>
  <si>
    <t>Система сканирования и чтения плоскопечатных текстов, 1 ед.</t>
  </si>
  <si>
    <t>Мнемосхемы, в том числе тактильные и звуковые, предупреждающие указатели,    2 ед.</t>
  </si>
  <si>
    <t>Информационные стенды со шрифтом Брайля, 4 ед.</t>
  </si>
  <si>
    <t>Передвижной перемещающий подъемник,    1 ед.</t>
  </si>
  <si>
    <t>Мнемосхемы, в том числе тактильные и звуковые, предупреждающие указатели,     4 ед.</t>
  </si>
  <si>
    <t>Подъемные устройства (в том числе для лестничных маршей), 1 ед.</t>
  </si>
  <si>
    <t>Подъемные устройства (в том числе для лестничных маршей),    1 ед.</t>
  </si>
  <si>
    <t>Тактильная пиктограмма доступности кабинета для инвалидов по зрению и слабовидящих, 2 ед.</t>
  </si>
  <si>
    <t>Вспомогательные средства, записывающие, воспроизводящие и отображающие звуко- и видеоинформацию, 13 ед.</t>
  </si>
  <si>
    <t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</si>
  <si>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 год, тыс. руб.</t>
  </si>
  <si>
    <t>Оборудование для песочной терапии, 1 ед.</t>
  </si>
  <si>
    <t>Оборудование для сенсорной комнаты, 1 ед.</t>
  </si>
  <si>
    <t>Шариковые бассейны, 1 ед.</t>
  </si>
  <si>
    <t>Тренажеры для укрепления позвоночника, 2 ед.</t>
  </si>
  <si>
    <t>Мыльница пластмассовая, 2 ед.</t>
  </si>
  <si>
    <t>Дверная ручка для инвалидов без кистей рук, 4 ед.</t>
  </si>
  <si>
    <t>Мнемосхемы, в том числе тактильные и звуковые, предупреждающие указатели, 1 ед.</t>
  </si>
  <si>
    <t>Вспомогательные средства, записывающие, воспроизводящие и отображающие звуко- и видеоинформацию, 2 ед.</t>
  </si>
  <si>
    <t>Унитаз, поднимающийся и регулируемый по высоте, 1 ед.</t>
  </si>
  <si>
    <t>Мнемосхемы, в том числе тактильные и звуковые, предупреждающие указатели, 24 шт.</t>
  </si>
  <si>
    <t>Аэробные тренажеры, 1 ед.</t>
  </si>
  <si>
    <t>Велотренажеры, 1 ед.</t>
  </si>
  <si>
    <t>Картофеледержатели, 1 ед.</t>
  </si>
  <si>
    <t>Картофелечистки (ручные и электрические), 1 ед.</t>
  </si>
  <si>
    <t xml:space="preserve">Керновые ножи, 1 ед. </t>
  </si>
  <si>
    <t>Кухонная посуда и принадлежности к ней (жаровни, чайник, кастрюли и т.д.),                     1 комплект</t>
  </si>
  <si>
    <t>Кухонные весы, 1 ед.</t>
  </si>
  <si>
    <t>Приспособление для чистки овощей, 1 ед.</t>
  </si>
  <si>
    <t>Столик для приема пищи на кресле-коляске,            1 ед.</t>
  </si>
  <si>
    <t>Столовые приборы для еды, 3 набора</t>
  </si>
  <si>
    <t>Вешалка в шкаф на кронштейне (кронштейн), 1 ед.</t>
  </si>
  <si>
    <t>Подголовник для шеи (подушечки для шеи),     1 ед.</t>
  </si>
  <si>
    <t xml:space="preserve">Раскладной столик для письма в кровати, 1 ед.
</t>
  </si>
  <si>
    <t>Зеркала для ухода за лицом, 1 ед.</t>
  </si>
  <si>
    <t>Кресла для ванны/душа (на колесиках или без них), доски для ванны, табуретки, спинки и сиденья, 1 ед.</t>
  </si>
  <si>
    <t>Подлокотники и спинки туалетные, монтируемые на унитазах, 1 ед.</t>
  </si>
  <si>
    <t>Поручень для перемещения с кресла-коляски, 1 ед.</t>
  </si>
  <si>
    <t>Приспособление для поднятия предметов с пола, 1 ед.</t>
  </si>
  <si>
    <t>Устройство для самостоятельного подъема со стула, 1 ед.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</si>
  <si>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пользователем или обслуживающим персоналом, 2 ед.</t>
  </si>
  <si>
    <t>Матрац с изменяемым профилем ложа, 2 ед.</t>
  </si>
  <si>
    <t xml:space="preserve">Кресло-стул с санитарным оснащением для компенсации ограничений способности к передвижению, 1 ед.
</t>
  </si>
  <si>
    <t>Наборы массажных валиков, 5 ед.</t>
  </si>
  <si>
    <t>Наборы массажных мячей, 5 ед.</t>
  </si>
  <si>
    <t>Костыли с подлокотниками, 2 ед.</t>
  </si>
  <si>
    <t>Мнемосхемы, в том числе тактильные и звуковые, предупреждающие указатели, 2 ед.</t>
  </si>
  <si>
    <t>Ходунки (шагающие, на колесах, с опорой на предплечье, с подмышечной опорой, роллаторы), 2 ед.</t>
  </si>
  <si>
    <t>Ходунки (шагающие, на колесах, с опорой на предплечье, с подмышечной опорой, роллаторы), 1 ед.</t>
  </si>
  <si>
    <t>Брайлевский дисплей с программным обеспечением экранного доступа и увеличения экрана, 2 ед.</t>
  </si>
  <si>
    <t>Инструменты для логопедического массажа, 6 ед.</t>
  </si>
  <si>
    <t xml:space="preserve">Вспомогательные средства для исполнения музыкальных произведений и сочинения музыки, 1 ед. </t>
  </si>
  <si>
    <t>Компьютеры, вспомогательные и альтернативные принадлежности для компьютеров, 6 ед.</t>
  </si>
  <si>
    <t>Активные коляски для танцев, 2 ед.</t>
  </si>
  <si>
    <t>Горка, 1 ед.</t>
  </si>
  <si>
    <t>Пандус телескопический двухсекционный, 3 ед.</t>
  </si>
  <si>
    <t>Активные коляски для танцев, 4 ед.</t>
  </si>
  <si>
    <t>Шведская стенка, 2 ед.</t>
  </si>
  <si>
    <t>Массажная кушетка, 1 ед.</t>
  </si>
  <si>
    <t>Модули для метания, 1 ед.</t>
  </si>
  <si>
    <t>Модули для перешагивания, 1 ед.</t>
  </si>
  <si>
    <t>Модули для подлезания, 2 ед.</t>
  </si>
  <si>
    <t>Аэробные тренажеры, 2 ед.</t>
  </si>
  <si>
    <t>Велотренажеры, 2 ед.</t>
  </si>
  <si>
    <t>Силовые тренажеры, 2 ед.</t>
  </si>
  <si>
    <t>Тренажеры для разработки нижних конечностей, 2 ед.</t>
  </si>
  <si>
    <t>Тренажеры для укрепления мышц бедра и голени, 1 ед.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</si>
  <si>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</t>
  </si>
  <si>
    <t>Универсальная система помощи вызова персонала из нескольких мест - 1 шт., 18,58 тыс. руб.; тактильная вывеска организации и всех помещений Центра - 11 шт., 0,574 тыс. руб./шт. всего - 6,317 тыс. руб.; тактильная пиктограмма - 12 шт., 0,058 тыс. руб./шт, всего - 0,694 тыс руб.</t>
  </si>
  <si>
    <t>набор для визуально-сенсорного восприятия - 2 шт.. 90,8 тыс. руб./шт., всего - 181,6 тыс. руб.; набор для слухоречевого восприятия - 2 шт., 73,0 тыс. руб./шт., всего - 146,0 тыс. руб.; набор для детей с аутизмом - 1 шт., 207,0 тыс. руб.</t>
  </si>
  <si>
    <t>Оборудование для сенсорной комнаты, 1 шт.</t>
  </si>
  <si>
    <t>Рабочие материалы для коррекции, 3 набора</t>
  </si>
  <si>
    <t>Наборы детской мебели, 15 ед.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</si>
  <si>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т.д., 15 ед.</t>
  </si>
  <si>
    <t xml:space="preserve">Общий объем средств субсидии из федерального бюджета, запланированных на приобретение оборудования в 2021 году, тыс. руб. </t>
  </si>
  <si>
    <t>Общий объем средств субъекта Российской Федерации, запланированных на приобретение оборудования в 2021 году, тыс. руб.</t>
  </si>
  <si>
    <t>спортивные маты - 5 шт., 4,1 тыс. руб./шт., всего 20,5 тыс. руб.; палочка гимнастическая деревянная - 10 шт., 0,1 тыс. руб./шт., всего - 1,0 тыс. руб.</t>
  </si>
  <si>
    <t>стол "Мозаика" - 1 шт., 18,33 тыс. руб.; проектор "Звездное небо" - 1 шт., 16,557 тыс. руб.</t>
  </si>
  <si>
    <t>всего</t>
  </si>
  <si>
    <t>Итого по организации</t>
  </si>
  <si>
    <t>Стол механотерапии, 2 ед.</t>
  </si>
  <si>
    <t>Средства обучения навыкам умозрительного восприятия, 2 ед.</t>
  </si>
  <si>
    <t>Велотренажеры, 4 ед.</t>
  </si>
  <si>
    <t>не имеется</t>
  </si>
  <si>
    <t>Шведская стенка, 1 ед.</t>
  </si>
  <si>
    <t>Спортивные коляски, 4 ед.</t>
  </si>
  <si>
    <t>Силовые тренажеры, 4 ед.</t>
  </si>
  <si>
    <t>Тренажеры для укрепления мышц бедра и голени, 8 ед.</t>
  </si>
  <si>
    <t xml:space="preserve"> Утяжелители - 8 шт.; копье для метания легкоатлетическое - 1 шт.; диск для метания - 31 шт.; ядро для толкания - 16 шт.; штанга для пауэрлифтинга в комплекте с дисками - 2 шт.; скамья для жима лежа для спортсменов с ПОДА - 1 ед.; сетка для бадминтона - 1 ед.; бадминтонные стойки - 1 ед.; лук спортивный в сборе - 2 шт.; стол для шоудауна - 4 шт.; абор для бочча в чехле (сумке) - 10 шт.</t>
  </si>
  <si>
    <t>базовый набор для индивидуальных занятий с детьми младшего возраста от 3 до 5 лет - 1 шт., 19,83 тыс. руб.; базовый набор для занятий с детьми 5-7 лет - 1 шт., 53,5 тыс. руб.; базовый набор для занятий с детьми 9-11 лет - 1 шт.. 47,18 тыс. руб.</t>
  </si>
  <si>
    <t>Оборудование для развития психофизических (психомоторных) качеств, игровой деятельности,                     3 набора</t>
  </si>
  <si>
    <t>стул для занятий с ДЦП - 15 шт., 31,1 тыс. руб./шт., всего - 466,5 тыс. руб.</t>
  </si>
  <si>
    <t>Компьютеры - 2 ед.</t>
  </si>
  <si>
    <t>Спортивное оборудование и инвентарь - 10 ед.</t>
  </si>
  <si>
    <t>Имитатор ходьбы «Имитрон» малогабаритный со счетчиком шагов (детский), 1 ед</t>
  </si>
  <si>
    <t>дверная ручка для инвалидов без кистей рук, 2 ед.</t>
  </si>
  <si>
    <t>Мнемосхемы, в том числе тактильные и звуковые, предупреждающие указатели,           1 ед.</t>
  </si>
  <si>
    <t>Предельный уровень софинансирования  расходного обязательства субъекта Российской Федерации из федерального бюджета на 2021 год, %</t>
  </si>
  <si>
    <t>Объем средств, запланированных на приобретение реабилитационного оборудования, в 2021 году</t>
  </si>
  <si>
    <t>Объем средств, запланированных на приобретение компьютерной техники, оргтехники и программного обеспечения, в 2021 году</t>
  </si>
  <si>
    <t>Объем средств, запланированных на создание, эксплуатацию, развитие (доработку) информационной системы субъекта Российской Федерации, в 2021 году</t>
  </si>
  <si>
    <t xml:space="preserve">Общий объем средств субсидии из федерального бюджета, запланированных на проведение мероприятий по обучению специалистов в 2021 году, тыс. руб. </t>
  </si>
  <si>
    <t>Доля средств субсидии из федерального бюджета, запланированных на проведение мероприятий по обучению специалистов,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</si>
  <si>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проведение мероприятий по обучению в 2021 году, тыс. руб.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</si>
  <si>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 в 2021 году, тыс. руб. 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</si>
  <si>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</si>
  <si>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создание, эксплуатацию, развитие (доработку) информационной системы субъекта Российской Федерации в 2021 году, тыс. руб.</t>
  </si>
  <si>
    <t>Мнемосхемы, в том числе тактильные и звуковые, предупреждающие указатели - 1 ед.</t>
  </si>
  <si>
    <t>Персональные цифровые ассистенты - 4 ед.</t>
  </si>
  <si>
    <t>Персональные цифровые ассистенты, 4 ед.</t>
  </si>
  <si>
    <t>Оборудование для песочной терапии - 5 ед.</t>
  </si>
  <si>
    <t>Средства обучения навыкам умозрительного восприятия - 2 ед.</t>
  </si>
  <si>
    <t>Тестовые методики. Тестовые методики для психологической диагностики и консультирования - 2 ед.</t>
  </si>
  <si>
    <t>Оборудование для песочной терапии, 5 ед.</t>
  </si>
  <si>
    <t>Тестовые методики. Тестовые методики для психологической диагностики и консультирования, 2 ед.</t>
  </si>
  <si>
    <t>Наборы детской мебели - 6 ед.</t>
  </si>
  <si>
    <t>Коррекционно-развивающий программный комплекс по развитию слуха и речи ("Живой звук") - 1 ед.</t>
  </si>
  <si>
    <t>Коррекционно-развивающий программный комплекс по развитию слуха и речи ( с видеобиоуправлением) - 2 ед.</t>
  </si>
  <si>
    <t>Наглядно-дидактический материал (пособия для обследования речи) - 12 ед.</t>
  </si>
  <si>
    <t>Наборы детской мебели, 6 ед.</t>
  </si>
  <si>
    <t>Коррекционно-развивающий программный комплекс по развитию слуха и речи ("Живой звук"), 1 ед.</t>
  </si>
  <si>
    <t>Коррекционно-развивающий программный комплекс по развитию слуха и речи ( с видеобиоуправлением), 2 ед.</t>
  </si>
  <si>
    <t>Наглядно-дидактический материал (пособия для обследования речи),    12 ед.</t>
  </si>
  <si>
    <t>Программные средства специальные для мультимедийного представления - 1 ед.</t>
  </si>
  <si>
    <t>Унитаз, поднимающийся и регулируемый по высоте, 4 ед.</t>
  </si>
  <si>
    <t>Устройство для самостоятельного подъема со стула, 3 ед.</t>
  </si>
  <si>
    <t>Кресло-коляска с ручным приводом (комнатная, прогулочная, активного типа) - 10 ед.</t>
  </si>
  <si>
    <t>Подъемные устройства (Лестничный подъемник) - 1 ед.</t>
  </si>
  <si>
    <t>Кресло-коляска с электроприводом, малогабаритная - 3 ед.</t>
  </si>
  <si>
    <t>Пандус телескопический двухсекционный - 10 ед.</t>
  </si>
  <si>
    <t>Подъемные устройства (Лестничная наклонная подъемная платформа ) - 1 ед.</t>
  </si>
  <si>
    <t>Ходунки (шагающие, на колесах, с опорой на предплечье, с подмышечной опорой, роллаторы) - 20 ед.</t>
  </si>
  <si>
    <t>Компьютеры, вспомогательные и альтернативные принадлежности для компьютеров - 15 ед.</t>
  </si>
  <si>
    <t>Активные коляски для танцев - 10 ед.</t>
  </si>
  <si>
    <t>Всего - 3480,68 тыс. рублей.                                                                                                                                                                                                  Утяжелители - 20 шт., 0,37тыс. руб./шт., всего - 7,4 тыс. руб.; секундомер электронный - 5 шт., 2,11 тыс. руб./шт., всего - 10,55 тыс. руб.; копье для метания легкоатлетическое - 2 шт., 6,09 тыс. руб./шт., всего - 12,18 тыс. руб.; диск для метания - 5 шт., 4,84 тыс. руб./шт., всего - 24,2 тыс. руб.; ядро для толкания - 4 шт., 2,58 тыс. руб., всего - 10,4 тыс. руб.; барьер пластиковый регулируемый - 10 шт., 2,75 тыс. руб. /шт, всего - 27,5 тыс. руб.; лента эластичная - 50 шт., 0,4 тыс. руб., всего - 20,0 тыс. руб.; тренажер копья - 2 шт., 4,86 тыс. руб./шт., всего - 9,72 тыс. руб.; министеппер - 2 шт., 4,99 тыс. руб. /шт., всего - 9,98 тыс. руб.; подставка под магнезию - 2 шт., 4,32 тыс. руб. /шт., всего - 8,64 тыс. руб.; магнезия - 20 шт., 0,2 тыс. руб./шт., всего - 4,0 тыс. руб.;
штанга для пауэрлифтинга в комплекте с дисками - 2 шт., 57,92 тыс. руб./шт., всего - 115,84 тыс. руб.; скамья для жима лежа для спортсменов с ПОДА - 2 ед., 51,5 тыс. руб./шт., всего - 103,0 тыс. руб.; стойка для дисков - 2 ед., 5,9 тыс. руб./шт., всего - 11,8 тыс. руб.; мат. гимнастический 100х150х10 см - 10 шт., 2,32 тыс. руб._шт., всего - 23,2 тыс. руб.; воланы для бадминтона перьевые - 100 шт., 2,99 тыс. руб./шт., всего - 299,0 тыс. руб.; воланы для бадминтона  пластиковые - 200 шт., 0,75 тыс. руб./шт., всего - 150,0 тыс. руб.; ракетка для бадминтона - 20 шт., 10,0 тыс. руб. /шт., всего - 200.0 тыс. руб.; чехол для ракетки - 10 шт., 0,49 тыс. руб./шт., всего - 4,9 тыс. руб.; сетка для бадминтона - 2,45 тыс. руб./шт.. всего - 9,8 тыс. руб.; бадминтонные стойки - 2 шт., 10,9 тыс. руб./шт., всего - 21,8 тыс. руб.; отпариватель для воланов электрический - 1 ед., 2,5 тыс. руб./шт.; струна для бадминтонной ракетки - 50 шт., 0.38 тыс. руб./шт.. всего - 19,0 тыс. руб.; обмотка для бадминтонной ракетки - 100 шт., 0,29 тыс. руб./шт.. всего - 29,0 тыс. руб.; мячи для настольного тенниса - 100 шт., 0,163 тыс. руб./шт., всего - 1,63 тыс. руб.; сетка для настольного тенниса - 6 шт., 2,99 тыс. руб./шт., всего - 17,94 тыс. руб.; ракетка для настольного тенниса - 20 шт., 2,73 тыс. руб./шт.. всего - 54,6 тыс. руб.; накладки для ракеток - 100 шт., 3,41 тыс. руб./шт., всего - 341.0 тыс. руб.; лук спортивный в сборе - 3 шт., 69.0 тыс. руб./шт.. всего - 207,0 тыс. руб.; стрелы (комплект) - 3 шт., 41,95 тыс. руб./шт., всего - 125,85 тыс. руб.; нить для тетивы - 3 шт., 5,79 тыс. руб./шт.. всего - 17,37 тыс. руб.; кимоно - 40 шт., 4,2 тыс. руб./шт., всего - 168,0 тыс. руб.; наколенники - 5 шт., 2,9 тыс. руб./шт., всего - 14,5 тыс. руб.; куртка для самбо - 20 шт., 2,19 тыс. руб./шт.. всего - 43,9 тыс. руб.; шорты для самбо - 20 шт., 0,6 тыс. руб./шт., всего - 12,0 тыс. руб.; стол для шоудауна - 2 шт., 7,7 тыс. руб./шт., всего - 154,0 тыс. руб.; перчатка для шоудауна - 20 шт., 1.65 тыс. руб./шт., всего - 33.0 тыс. руб.; мяч для игры в шоудаун - 80 шт., 0,54 тыс. руб./шт., всего - 43,2 тыс. руб.; ракетка для шоудауна - 30 шт., 0,49 тыс. руб./шт.. всего - 14,7 тыс. руб.; очки для шоудауна - 30 шт., 1,5 тыс. руб./шт., всего - 45.0 тыс. руб.; набор для бочча в чехле (сумке) - 10 шт., 32,0 тыс. руб./шт.. всего - 320,0 тыс. руб.; рампа для бочча - 5 шт., 18,6 тыс. руб./шт., всего - 93,0 тыс. руб., велосипед реабилитационный (для ДЦП) - 5 шт., 125,0 тыс. руб./шт., всего - 625,0 тыс. руб.</t>
  </si>
  <si>
    <t>Курсы повышения квалификации</t>
  </si>
  <si>
    <t>реабилитация и абилитация инвалидов</t>
  </si>
  <si>
    <t>ранняя помощь</t>
  </si>
  <si>
    <t>Комплексная реабилитация инвалидов (детей-инвалидов)</t>
  </si>
  <si>
    <t>Объем средств, запланированных на проведение мероприятий по обучению специалистов, в 2021 году</t>
  </si>
  <si>
    <t>Штанга-консоль к кровати для самостоятельного подъема, 10 ед.</t>
  </si>
  <si>
    <t>Противопролежневый матрац (полиуретановый, гелевый, воздушный), 24 ед.</t>
  </si>
  <si>
    <t>Поручень горизонтальный прикроватный, 4 ед.</t>
  </si>
  <si>
    <t>Передвижной перемещающий подъемник, 18 ед.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</si>
  <si>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пользователем или обслуживающим персоналом, 24 ед.</t>
  </si>
  <si>
    <t>кровати и матрацы с изменеяемым профилем ложа - 24 шт., 118,2 тыс. руб./шт., всего - 2836,8 тыс. руб.</t>
  </si>
  <si>
    <t>1 ед.</t>
  </si>
  <si>
    <t>стол для песочной терапи, 1 ед.</t>
  </si>
  <si>
    <t>Доля средств субсидии из федерального бюджета, запланированных на приобретение оборудования, от общего объема необходимой в 2021 году  субсидии из федерального бюджета, %</t>
  </si>
  <si>
    <t>Стол массажный терапевтический «Кинезо-эксперт», 1 ед.</t>
  </si>
  <si>
    <t>Массажная кушетка, 5 ед.</t>
  </si>
  <si>
    <t>Тренажеры для разработки нижних конечностей,      1 ед</t>
  </si>
  <si>
    <t>Информация об организациях региона, реализующих сопровождаемое проживание инвалидов, подлежащие включению в систему комплексной реабилитации и абилитации инвалидов субъекта Российской Федерации, для организации сопровождаемого проживания инвалидов</t>
  </si>
  <si>
    <t xml:space="preserve">Общий объем средств субсидии из федерального бюджета, запланированных на приобретение  мебели в 2021 году, тыс. руб. </t>
  </si>
  <si>
    <t>Доля средств субсидии из федерального бюджета, запланированных на приобретение  мебели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</si>
  <si>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 мебели  в 2021 году, тыс. руб.</t>
  </si>
  <si>
    <t xml:space="preserve">Общий объем средств субсидии из федерального бюджета, запланированных на приобретение бытовой техники, тыс. руб. </t>
  </si>
  <si>
    <t>Доля средств субсидии из федерального бюджета, запланированных на приобретение бытовой техники,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</si>
  <si>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бытовой техники в 2021 году, тыс. руб.</t>
  </si>
  <si>
    <t>Приобретение мебели за счет средств субсидии из федерального бюджета</t>
  </si>
  <si>
    <t>Приобретение бытовой техники за счет средств субсидии из федерального бюджета</t>
  </si>
  <si>
    <t>план по приобретению (название, количество)*</t>
  </si>
  <si>
    <t>средняя стоимость единицы планируемой к приобретению мебели, тыс. руб.</t>
  </si>
  <si>
    <t>средняя стоимость единицы планируемой к приобретению бытовой техники, тыс. руб.</t>
  </si>
  <si>
    <t>* Указывается соответствующий пункт (пункты) перечня мероприятий согласно проекту региональной программы.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</si>
  <si>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</si>
  <si>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компьютерной техники, оргтехники и программного обеспечения в 2021 году, тыс. руб.</t>
  </si>
  <si>
    <t>Бюджетное учреждение Чувашской Республики "Новочебоксарский социально-реабилитационный центр для несовершеннолетних" Министерства труда и социальной защиты Чувашской Республики</t>
  </si>
  <si>
    <t>Бюджетное учреждение Чувашской Республики "Канашский комплексный центр социального обслуживания" Министерства труда и социальной защиты Чувашской Республики</t>
  </si>
  <si>
    <t>Бюджетное учреждение Чувашской Республики  "Алатырский социально-реабилитационный центр несовершеннолетних" Министерства труда и социальной защиты Чувашской Республикиии</t>
  </si>
  <si>
    <t>Бюджетное учреждение Чувашской Республики "Социально-реабилитационный центр для несовершеннолетних  г. Чебоксары" Министерства труда и социальной защиты Чувашской Республики</t>
  </si>
  <si>
    <t>Бюджетное учреждение Чувашской Республики "Реабилитационный центр для детей и подростков с ограниченными возможностями" Министерства труда и социальной защиты Чувашской Республики</t>
  </si>
  <si>
    <t>Бюджетное образовательное учреждение Чувашской Республики "Чебоксарская начальная общеобразовательная школа для детей с ограниченными возможностями здоровья №1" Министерства образования и молодежной политики Чувашской Республики</t>
  </si>
  <si>
    <t>Бюджетное образовательное учреждение Чувашской Республики "Чебоксарская начальная общеобразовательная школа для детей с ограниченными возможностями здоровья №2" Министерства образования и молодежной политики Чувашской Республики</t>
  </si>
  <si>
    <t>Бюджетное образовательное учреждение Чувашской Республики "Чебоксарская начальная общеобразовательная школа для детей с ограниченными возможностями здоровья №3"Министерства образования и молодежной политики Чувашской Республики</t>
  </si>
  <si>
    <t>Бюджетное учреждение Чувашской Республики "Республиканская детская клиническая больница" Министерства здравоохранения Чувашской Республики</t>
  </si>
  <si>
    <t>Бюджетное учреждение Чувашской Республики  "Мемориальный комплекс летчика-космонавта СССР А.Г. Николаева"  Министерства культуры, по делам национальностей и архивного дела Чувашской Республики</t>
  </si>
  <si>
    <t>Бюджетное учреждение Чувашской Республики  "Библиотека имени Л.Н. Толстого" Министерства культуры, по делам национальностей и архивного дела Чувашской Республики</t>
  </si>
  <si>
    <t>Бюджетное учреждение Чувашской Республики  "Детско-юношеская библиотека"  Министерства культуры, по делам национальностей и архивного дела Чувашской Республики</t>
  </si>
  <si>
    <t>Муниципальное бюджетное учреждение культуры "Объединение библиотек города Чебоксары"</t>
  </si>
  <si>
    <t>Бюджетное учреждение Чувашской Республики "Государственная киностудия "Чувашкино" и архив электронной документации"  Министерства культуры, по делам национальностей и архивного дела Чувашской Республики</t>
  </si>
  <si>
    <t>Бюджетное учреждение Чувашской Республики "Чувашский государственный художественный музей"  Министерства культуры, по делам национальностей и архивного дела Чувашской Республики</t>
  </si>
  <si>
    <t>Автономное учреждение Чувашской Республики "Чувашдрамтеатр"  Министерства культуры, по делам национальностей и архивного дела Чувашской Республики</t>
  </si>
  <si>
    <t xml:space="preserve">Муниципальное бюджетное учреждения «Спортивная адаптивная школа»                       г. Чебоксары </t>
  </si>
  <si>
    <t>Информация о планируемых мероприятиях по обучению инвалидов, в том числе детей-инвалидов, и членов их семей навыкам ухода, подбору и пользованию техническими средствами реабилитации, реабилитационным навыкам</t>
  </si>
  <si>
    <t xml:space="preserve">Общий объем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 в 2021 году, тыс. руб. </t>
  </si>
  <si>
    <t>Доля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семей, от общего объема необходимой в 2021 году субсидии из федерального бюджета, %</t>
  </si>
  <si>
    <t>Информация о мероприятиях по обучению инвалидов, в том числе детей-инвалидов, и членов их семей за счет средств субсидии из федерального бюджета</t>
  </si>
  <si>
    <t>название мероприятия по обучению инвалидов, в том числе детей-инвалидов, и членов их семей*</t>
  </si>
  <si>
    <t>название программы обучения детей-инвалидов, и членов их семей</t>
  </si>
  <si>
    <t>число инвалидов, в том числе детей-инвалидов, и членов их семей, которых планируется обучать, чел.</t>
  </si>
  <si>
    <t>стоимость мероприятия по обучению инвалидов, в том числе детей-инвалидов, и членов их семей, тыс. руб.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</si>
  <si>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</t>
  </si>
  <si>
    <t>Объем средств, запланированных на приобретение мебели и бытовой техники , в 2021 году</t>
  </si>
  <si>
    <t>все</t>
  </si>
  <si>
    <t>Технология оказания ранней помощи</t>
  </si>
  <si>
    <t>Объем средств, запланированных на проведение мероприятий по обучению инвалидов, в том числе детей-инвалидов, и членов их семей , в 2021 году</t>
  </si>
  <si>
    <t>Сопровождаемое проживание, организационно-правовые и методические основы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</si>
</sst>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4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/>
    <xf numFmtId="0" fontId="12" fillId="4" borderId="1" xfId="0" applyFont="1" applyFill="1" applyBorder="1" applyAlignment="1">
      <alignment horizontal="center" wrapText="1"/>
    </xf>
    <xf numFmtId="0" fontId="0" fillId="4" borderId="0" xfId="0" applyFill="1"/>
    <xf numFmtId="0" fontId="11" fillId="4" borderId="2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wrapText="1"/>
    </xf>
    <xf numFmtId="0" fontId="11" fillId="4" borderId="2" xfId="0" applyFont="1" applyFill="1" applyBorder="1" applyAlignment="1"/>
    <xf numFmtId="0" fontId="11" fillId="4" borderId="5" xfId="0" applyFont="1" applyFill="1" applyBorder="1" applyAlignment="1">
      <alignment horizontal="center" vertical="top" wrapText="1"/>
    </xf>
    <xf numFmtId="0" fontId="0" fillId="0" borderId="1" xfId="0" applyBorder="1"/>
    <xf numFmtId="0" fontId="0" fillId="4" borderId="1" xfId="0" applyFill="1" applyBorder="1"/>
    <xf numFmtId="0" fontId="17" fillId="4" borderId="1" xfId="0" applyFont="1" applyFill="1" applyBorder="1"/>
    <xf numFmtId="0" fontId="3" fillId="0" borderId="11" xfId="0" applyFont="1" applyFill="1" applyBorder="1" applyAlignment="1">
      <alignment horizontal="center" vertical="top" wrapText="1"/>
    </xf>
    <xf numFmtId="0" fontId="0" fillId="4" borderId="9" xfId="0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0" fillId="4" borderId="0" xfId="0" applyFill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/>
    </xf>
    <xf numFmtId="164" fontId="2" fillId="4" borderId="1" xfId="0" applyNumberFormat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64" fontId="3" fillId="4" borderId="6" xfId="0" applyNumberFormat="1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164" fontId="2" fillId="4" borderId="9" xfId="0" applyNumberFormat="1" applyFont="1" applyFill="1" applyBorder="1" applyAlignment="1">
      <alignment horizontal="left" vertical="top" wrapText="1"/>
    </xf>
    <xf numFmtId="164" fontId="0" fillId="4" borderId="0" xfId="0" applyNumberFormat="1" applyFill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 wrapText="1"/>
    </xf>
    <xf numFmtId="164" fontId="3" fillId="2" borderId="7" xfId="0" applyNumberFormat="1" applyFont="1" applyFill="1" applyBorder="1" applyAlignment="1">
      <alignment horizontal="left" vertical="top" wrapText="1"/>
    </xf>
    <xf numFmtId="164" fontId="3" fillId="4" borderId="7" xfId="0" applyNumberFormat="1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left" vertical="top" wrapText="1"/>
    </xf>
    <xf numFmtId="164" fontId="12" fillId="4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/>
    </xf>
    <xf numFmtId="0" fontId="9" fillId="2" borderId="1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6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0" fillId="0" borderId="0" xfId="0" applyNumberFormat="1"/>
    <xf numFmtId="0" fontId="3" fillId="4" borderId="0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164" fontId="0" fillId="4" borderId="6" xfId="0" applyNumberFormat="1" applyFill="1" applyBorder="1" applyAlignment="1">
      <alignment horizontal="left" vertical="top" wrapText="1"/>
    </xf>
    <xf numFmtId="0" fontId="17" fillId="5" borderId="0" xfId="0" applyFont="1" applyFill="1"/>
    <xf numFmtId="0" fontId="1" fillId="4" borderId="1" xfId="0" applyFont="1" applyFill="1" applyBorder="1"/>
    <xf numFmtId="0" fontId="3" fillId="3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164" fontId="10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0" fillId="0" borderId="0" xfId="0" applyNumberForma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left" vertical="top"/>
    </xf>
    <xf numFmtId="0" fontId="2" fillId="6" borderId="7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top" wrapText="1"/>
    </xf>
    <xf numFmtId="164" fontId="2" fillId="6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0" fontId="0" fillId="6" borderId="0" xfId="0" applyFill="1" applyAlignment="1">
      <alignment horizontal="left" vertical="top"/>
    </xf>
    <xf numFmtId="0" fontId="9" fillId="6" borderId="4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vertical="top" wrapText="1"/>
    </xf>
    <xf numFmtId="0" fontId="2" fillId="6" borderId="6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vertical="top" wrapText="1"/>
    </xf>
    <xf numFmtId="0" fontId="13" fillId="6" borderId="7" xfId="0" applyFont="1" applyFill="1" applyBorder="1" applyAlignment="1">
      <alignment horizontal="left" vertical="top" wrapText="1"/>
    </xf>
    <xf numFmtId="164" fontId="3" fillId="6" borderId="1" xfId="0" applyNumberFormat="1" applyFont="1" applyFill="1" applyBorder="1" applyAlignment="1">
      <alignment horizontal="left" vertical="top" wrapText="1"/>
    </xf>
    <xf numFmtId="164" fontId="13" fillId="6" borderId="1" xfId="0" applyNumberFormat="1" applyFont="1" applyFill="1" applyBorder="1" applyAlignment="1">
      <alignment horizontal="left" vertical="top" wrapText="1"/>
    </xf>
    <xf numFmtId="0" fontId="18" fillId="6" borderId="0" xfId="0" applyFont="1" applyFill="1" applyAlignment="1">
      <alignment horizontal="left" vertical="top"/>
    </xf>
    <xf numFmtId="0" fontId="15" fillId="6" borderId="7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0" fillId="6" borderId="6" xfId="0" applyFill="1" applyBorder="1" applyAlignment="1">
      <alignment horizontal="left" vertical="top"/>
    </xf>
    <xf numFmtId="0" fontId="0" fillId="6" borderId="6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6" borderId="9" xfId="0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13" fillId="6" borderId="6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top" wrapText="1"/>
    </xf>
    <xf numFmtId="0" fontId="15" fillId="6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10" fillId="6" borderId="6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left" vertical="top" wrapText="1"/>
    </xf>
    <xf numFmtId="0" fontId="13" fillId="6" borderId="8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16" fillId="6" borderId="6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164" fontId="2" fillId="4" borderId="6" xfId="0" applyNumberFormat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9" fillId="4" borderId="7" xfId="0" applyFont="1" applyFill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vertical="top" wrapText="1"/>
    </xf>
    <xf numFmtId="0" fontId="11" fillId="4" borderId="7" xfId="0" applyFont="1" applyFill="1" applyBorder="1" applyAlignment="1">
      <alignment vertical="top" wrapText="1"/>
    </xf>
    <xf numFmtId="0" fontId="12" fillId="4" borderId="6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6" fillId="4" borderId="7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164" fontId="0" fillId="4" borderId="9" xfId="0" applyNumberFormat="1" applyFill="1" applyBorder="1" applyAlignment="1">
      <alignment horizontal="left" vertical="top" wrapText="1"/>
    </xf>
    <xf numFmtId="0" fontId="9" fillId="4" borderId="4" xfId="0" applyFont="1" applyFill="1" applyBorder="1" applyAlignment="1">
      <alignment vertical="top" wrapText="1"/>
    </xf>
    <xf numFmtId="164" fontId="0" fillId="4" borderId="1" xfId="0" applyNumberFormat="1" applyFill="1" applyBorder="1" applyAlignment="1">
      <alignment horizontal="left" vertical="top"/>
    </xf>
    <xf numFmtId="164" fontId="0" fillId="4" borderId="6" xfId="0" applyNumberFormat="1" applyFill="1" applyBorder="1" applyAlignment="1">
      <alignment horizontal="left" vertical="top"/>
    </xf>
    <xf numFmtId="0" fontId="4" fillId="4" borderId="8" xfId="0" applyFont="1" applyFill="1" applyBorder="1" applyAlignment="1">
      <alignment horizontal="center" vertical="top" wrapText="1"/>
    </xf>
    <xf numFmtId="0" fontId="0" fillId="4" borderId="8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164" fontId="17" fillId="4" borderId="6" xfId="0" applyNumberFormat="1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164" fontId="2" fillId="4" borderId="8" xfId="0" applyNumberFormat="1" applyFont="1" applyFill="1" applyBorder="1" applyAlignment="1">
      <alignment horizontal="left" vertical="top" wrapText="1"/>
    </xf>
    <xf numFmtId="0" fontId="12" fillId="4" borderId="10" xfId="0" applyFont="1" applyFill="1" applyBorder="1" applyAlignment="1">
      <alignment horizontal="left" vertical="top" wrapText="1"/>
    </xf>
    <xf numFmtId="0" fontId="15" fillId="4" borderId="7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15" fillId="4" borderId="6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164" fontId="12" fillId="4" borderId="6" xfId="0" applyNumberFormat="1" applyFont="1" applyFill="1" applyBorder="1" applyAlignment="1">
      <alignment horizontal="left" vertical="top" wrapText="1"/>
    </xf>
    <xf numFmtId="164" fontId="0" fillId="2" borderId="7" xfId="0" applyNumberFormat="1" applyFill="1" applyBorder="1" applyAlignment="1">
      <alignment horizontal="left" vertical="top"/>
    </xf>
    <xf numFmtId="2" fontId="0" fillId="4" borderId="6" xfId="0" applyNumberFormat="1" applyFill="1" applyBorder="1" applyAlignment="1">
      <alignment horizontal="left" vertical="top"/>
    </xf>
    <xf numFmtId="164" fontId="12" fillId="2" borderId="6" xfId="0" applyNumberFormat="1" applyFont="1" applyFill="1" applyBorder="1" applyAlignment="1">
      <alignment horizontal="center" vertical="top" wrapText="1"/>
    </xf>
    <xf numFmtId="164" fontId="19" fillId="4" borderId="6" xfId="0" applyNumberFormat="1" applyFont="1" applyFill="1" applyBorder="1" applyAlignment="1">
      <alignment vertical="top" wrapText="1"/>
    </xf>
    <xf numFmtId="164" fontId="19" fillId="4" borderId="8" xfId="0" applyNumberFormat="1" applyFont="1" applyFill="1" applyBorder="1" applyAlignment="1">
      <alignment vertical="top" wrapText="1"/>
    </xf>
    <xf numFmtId="164" fontId="19" fillId="4" borderId="7" xfId="0" applyNumberFormat="1" applyFont="1" applyFill="1" applyBorder="1" applyAlignment="1">
      <alignment vertical="top" wrapText="1"/>
    </xf>
    <xf numFmtId="164" fontId="0" fillId="4" borderId="6" xfId="0" applyNumberFormat="1" applyFill="1" applyBorder="1" applyAlignment="1">
      <alignment horizontal="center" vertical="top" wrapText="1"/>
    </xf>
    <xf numFmtId="164" fontId="12" fillId="4" borderId="7" xfId="0" applyNumberFormat="1" applyFont="1" applyFill="1" applyBorder="1" applyAlignment="1">
      <alignment horizontal="left" vertical="top" wrapText="1"/>
    </xf>
    <xf numFmtId="164" fontId="0" fillId="4" borderId="7" xfId="0" applyNumberFormat="1" applyFill="1" applyBorder="1" applyAlignment="1">
      <alignment horizontal="left" vertical="top"/>
    </xf>
    <xf numFmtId="164" fontId="0" fillId="0" borderId="1" xfId="0" applyNumberFormat="1" applyBorder="1"/>
    <xf numFmtId="164" fontId="0" fillId="0" borderId="0" xfId="0" applyNumberFormat="1"/>
    <xf numFmtId="164" fontId="17" fillId="4" borderId="1" xfId="0" applyNumberFormat="1" applyFont="1" applyFill="1" applyBorder="1"/>
    <xf numFmtId="164" fontId="2" fillId="0" borderId="1" xfId="0" applyNumberFormat="1" applyFont="1" applyFill="1" applyBorder="1" applyAlignment="1">
      <alignment wrapText="1"/>
    </xf>
    <xf numFmtId="2" fontId="0" fillId="4" borderId="1" xfId="0" applyNumberFormat="1" applyFill="1" applyBorder="1" applyAlignment="1">
      <alignment horizontal="left" vertical="top"/>
    </xf>
    <xf numFmtId="2" fontId="17" fillId="4" borderId="1" xfId="0" applyNumberFormat="1" applyFont="1" applyFill="1" applyBorder="1" applyAlignment="1">
      <alignment horizontal="left" vertical="top"/>
    </xf>
    <xf numFmtId="164" fontId="14" fillId="0" borderId="1" xfId="0" applyNumberFormat="1" applyFont="1" applyFill="1" applyBorder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left" vertical="top" wrapText="1"/>
    </xf>
    <xf numFmtId="0" fontId="0" fillId="3" borderId="0" xfId="0" applyFill="1"/>
    <xf numFmtId="0" fontId="12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6" fillId="0" borderId="0" xfId="0" applyFont="1"/>
    <xf numFmtId="0" fontId="12" fillId="4" borderId="8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164" fontId="2" fillId="6" borderId="6" xfId="0" applyNumberFormat="1" applyFont="1" applyFill="1" applyBorder="1" applyAlignment="1">
      <alignment horizontal="left" vertical="top"/>
    </xf>
    <xf numFmtId="0" fontId="5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/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/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1" fillId="0" borderId="8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164" fontId="0" fillId="6" borderId="6" xfId="0" applyNumberFormat="1" applyFill="1" applyBorder="1" applyAlignment="1">
      <alignment horizontal="center" vertical="top"/>
    </xf>
    <xf numFmtId="164" fontId="0" fillId="6" borderId="8" xfId="0" applyNumberFormat="1" applyFill="1" applyBorder="1" applyAlignment="1">
      <alignment horizontal="center" vertical="top"/>
    </xf>
    <xf numFmtId="164" fontId="0" fillId="6" borderId="7" xfId="0" applyNumberFormat="1" applyFill="1" applyBorder="1" applyAlignment="1">
      <alignment horizontal="center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7" xfId="0" applyNumberFormat="1" applyFill="1" applyBorder="1" applyAlignment="1">
      <alignment horizontal="center" vertical="top"/>
    </xf>
    <xf numFmtId="164" fontId="12" fillId="2" borderId="6" xfId="0" applyNumberFormat="1" applyFont="1" applyFill="1" applyBorder="1" applyAlignment="1">
      <alignment horizontal="center" vertical="top" wrapText="1"/>
    </xf>
    <xf numFmtId="164" fontId="12" fillId="2" borderId="8" xfId="0" applyNumberFormat="1" applyFont="1" applyFill="1" applyBorder="1" applyAlignment="1">
      <alignment horizontal="center" vertical="top" wrapText="1"/>
    </xf>
    <xf numFmtId="164" fontId="12" fillId="2" borderId="7" xfId="0" applyNumberFormat="1" applyFont="1" applyFill="1" applyBorder="1" applyAlignment="1">
      <alignment horizontal="center" vertical="top" wrapText="1"/>
    </xf>
    <xf numFmtId="164" fontId="12" fillId="6" borderId="6" xfId="0" applyNumberFormat="1" applyFont="1" applyFill="1" applyBorder="1" applyAlignment="1">
      <alignment horizontal="center" vertical="top" wrapText="1"/>
    </xf>
    <xf numFmtId="164" fontId="12" fillId="6" borderId="7" xfId="0" applyNumberFormat="1" applyFont="1" applyFill="1" applyBorder="1" applyAlignment="1">
      <alignment horizontal="center" vertical="top" wrapText="1"/>
    </xf>
    <xf numFmtId="164" fontId="0" fillId="6" borderId="6" xfId="0" applyNumberFormat="1" applyFill="1" applyBorder="1" applyAlignment="1">
      <alignment horizontal="center" vertical="top" wrapText="1"/>
    </xf>
    <xf numFmtId="164" fontId="0" fillId="6" borderId="8" xfId="0" applyNumberFormat="1" applyFill="1" applyBorder="1" applyAlignment="1">
      <alignment horizontal="center" vertical="top" wrapText="1"/>
    </xf>
    <xf numFmtId="164" fontId="0" fillId="6" borderId="7" xfId="0" applyNumberFormat="1" applyFill="1" applyBorder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top" wrapText="1"/>
    </xf>
    <xf numFmtId="164" fontId="0" fillId="2" borderId="8" xfId="0" applyNumberFormat="1" applyFill="1" applyBorder="1" applyAlignment="1">
      <alignment horizontal="center" vertical="top" wrapText="1"/>
    </xf>
    <xf numFmtId="164" fontId="0" fillId="2" borderId="7" xfId="0" applyNumberForma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2" xfId="0" applyFont="1" applyBorder="1" applyAlignment="1"/>
    <xf numFmtId="0" fontId="11" fillId="0" borderId="5" xfId="0" applyFont="1" applyBorder="1" applyAlignment="1"/>
    <xf numFmtId="0" fontId="11" fillId="0" borderId="2" xfId="0" applyFont="1" applyBorder="1" applyAlignment="1">
      <alignment horizontal="center" vertical="top" wrapText="1"/>
    </xf>
    <xf numFmtId="0" fontId="19" fillId="6" borderId="6" xfId="0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horizontal="center" vertical="top" wrapText="1"/>
    </xf>
    <xf numFmtId="0" fontId="19" fillId="6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horizontal="center" vertical="top" wrapText="1"/>
    </xf>
    <xf numFmtId="0" fontId="12" fillId="6" borderId="8" xfId="0" applyFont="1" applyFill="1" applyBorder="1" applyAlignment="1">
      <alignment horizontal="center" vertical="top" wrapText="1"/>
    </xf>
    <xf numFmtId="0" fontId="12" fillId="6" borderId="7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164" fontId="12" fillId="0" borderId="6" xfId="0" applyNumberFormat="1" applyFont="1" applyFill="1" applyBorder="1" applyAlignment="1">
      <alignment horizontal="center" vertical="top" wrapText="1"/>
    </xf>
    <xf numFmtId="164" fontId="12" fillId="0" borderId="8" xfId="0" applyNumberFormat="1" applyFont="1" applyFill="1" applyBorder="1" applyAlignment="1">
      <alignment horizontal="center" vertical="top" wrapText="1"/>
    </xf>
    <xf numFmtId="164" fontId="12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0" fillId="0" borderId="1" xfId="0" applyFill="1" applyBorder="1" applyAlignment="1"/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zoomScale="90" zoomScaleNormal="90" workbookViewId="0">
      <selection activeCell="C27" sqref="C27"/>
    </sheetView>
  </sheetViews>
  <sheetFormatPr defaultRowHeight="15" x14ac:dyDescent="0.25"/>
  <cols>
    <col min="1" max="1" width="10.7109375" customWidth="1"/>
    <col min="2" max="4" width="18" customWidth="1"/>
    <col min="5" max="5" width="16.140625" customWidth="1"/>
    <col min="6" max="7" width="15.85546875" customWidth="1"/>
    <col min="8" max="8" width="15" customWidth="1"/>
    <col min="9" max="10" width="15.7109375" customWidth="1"/>
    <col min="11" max="11" width="17.42578125" customWidth="1"/>
    <col min="12" max="12" width="10.7109375" style="228" customWidth="1"/>
    <col min="13" max="13" width="13.28515625" style="228" customWidth="1"/>
    <col min="14" max="14" width="13" style="228" customWidth="1"/>
    <col min="15" max="15" width="10.7109375" style="228" customWidth="1"/>
    <col min="16" max="16" width="13.28515625" customWidth="1"/>
    <col min="17" max="17" width="13" customWidth="1"/>
  </cols>
  <sheetData>
    <row r="1" spans="1:17" ht="45" customHeight="1" x14ac:dyDescent="0.25">
      <c r="A1" s="248" t="s">
        <v>213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</row>
    <row r="2" spans="1:17" ht="30" customHeight="1" x14ac:dyDescent="0.25"/>
    <row r="3" spans="1:17" ht="37.5" customHeight="1" x14ac:dyDescent="0.25">
      <c r="A3" s="242" t="s">
        <v>0</v>
      </c>
      <c r="B3" s="239" t="s">
        <v>70</v>
      </c>
      <c r="C3" s="239" t="s">
        <v>158</v>
      </c>
      <c r="D3" s="239" t="s">
        <v>71</v>
      </c>
      <c r="E3" s="252" t="s">
        <v>214</v>
      </c>
      <c r="F3" s="252" t="s">
        <v>215</v>
      </c>
      <c r="G3" s="239" t="s">
        <v>216</v>
      </c>
      <c r="H3" s="252" t="s">
        <v>217</v>
      </c>
      <c r="I3" s="252" t="s">
        <v>218</v>
      </c>
      <c r="J3" s="239" t="s">
        <v>219</v>
      </c>
      <c r="K3" s="242" t="s">
        <v>27</v>
      </c>
      <c r="L3" s="244" t="s">
        <v>220</v>
      </c>
      <c r="M3" s="244"/>
      <c r="N3" s="244"/>
      <c r="O3" s="246" t="s">
        <v>221</v>
      </c>
      <c r="P3" s="246"/>
      <c r="Q3" s="246"/>
    </row>
    <row r="4" spans="1:17" ht="56.25" customHeight="1" x14ac:dyDescent="0.25">
      <c r="A4" s="243"/>
      <c r="B4" s="250"/>
      <c r="C4" s="240"/>
      <c r="D4" s="240"/>
      <c r="E4" s="253"/>
      <c r="F4" s="253"/>
      <c r="G4" s="240"/>
      <c r="H4" s="253"/>
      <c r="I4" s="253"/>
      <c r="J4" s="240"/>
      <c r="K4" s="243"/>
      <c r="L4" s="245"/>
      <c r="M4" s="245"/>
      <c r="N4" s="245"/>
      <c r="O4" s="247"/>
      <c r="P4" s="247"/>
      <c r="Q4" s="247"/>
    </row>
    <row r="5" spans="1:17" ht="133.5" customHeight="1" x14ac:dyDescent="0.25">
      <c r="A5" s="243"/>
      <c r="B5" s="251"/>
      <c r="C5" s="241"/>
      <c r="D5" s="241"/>
      <c r="E5" s="254"/>
      <c r="F5" s="254"/>
      <c r="G5" s="241"/>
      <c r="H5" s="254"/>
      <c r="I5" s="254"/>
      <c r="J5" s="241"/>
      <c r="K5" s="243"/>
      <c r="L5" s="101" t="s">
        <v>8</v>
      </c>
      <c r="M5" s="101" t="s">
        <v>222</v>
      </c>
      <c r="N5" s="101" t="s">
        <v>223</v>
      </c>
      <c r="O5" s="101" t="s">
        <v>8</v>
      </c>
      <c r="P5" s="101" t="s">
        <v>222</v>
      </c>
      <c r="Q5" s="101" t="s">
        <v>224</v>
      </c>
    </row>
    <row r="6" spans="1:17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229">
        <v>12</v>
      </c>
      <c r="M6" s="229">
        <v>13</v>
      </c>
      <c r="N6" s="229">
        <v>14</v>
      </c>
      <c r="O6" s="229">
        <v>15</v>
      </c>
      <c r="P6" s="229">
        <v>16</v>
      </c>
      <c r="Q6" s="229">
        <v>17</v>
      </c>
    </row>
    <row r="7" spans="1:17" ht="25.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230"/>
      <c r="M7" s="230"/>
      <c r="N7" s="230"/>
      <c r="O7" s="230"/>
      <c r="P7" s="230"/>
      <c r="Q7" s="230"/>
    </row>
    <row r="8" spans="1:17" s="228" customFormat="1" ht="22.5" customHeight="1" x14ac:dyDescent="0.25">
      <c r="A8" s="231" t="s">
        <v>225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x14ac:dyDescent="0.25">
      <c r="L9"/>
      <c r="M9"/>
      <c r="N9"/>
      <c r="O9"/>
    </row>
    <row r="10" spans="1:17" x14ac:dyDescent="0.25">
      <c r="L10"/>
      <c r="M10"/>
      <c r="N10"/>
      <c r="O10"/>
    </row>
    <row r="11" spans="1:17" x14ac:dyDescent="0.25">
      <c r="L11"/>
      <c r="M11"/>
      <c r="N11"/>
      <c r="O11"/>
    </row>
    <row r="12" spans="1:17" x14ac:dyDescent="0.25">
      <c r="L12"/>
      <c r="M12"/>
      <c r="N12"/>
      <c r="O12"/>
    </row>
    <row r="13" spans="1:17" x14ac:dyDescent="0.25">
      <c r="L13"/>
      <c r="M13"/>
      <c r="N13"/>
      <c r="O13"/>
    </row>
    <row r="14" spans="1:17" x14ac:dyDescent="0.25">
      <c r="L14"/>
      <c r="M14"/>
      <c r="N14"/>
      <c r="O14"/>
    </row>
    <row r="15" spans="1:17" x14ac:dyDescent="0.25">
      <c r="L15"/>
      <c r="M15"/>
      <c r="N15"/>
      <c r="O15"/>
    </row>
    <row r="16" spans="1:17" x14ac:dyDescent="0.25">
      <c r="L16"/>
      <c r="M16"/>
      <c r="N16"/>
      <c r="O16"/>
    </row>
    <row r="17" spans="12:15" x14ac:dyDescent="0.25">
      <c r="L17"/>
      <c r="M17"/>
      <c r="N17"/>
      <c r="O17"/>
    </row>
    <row r="18" spans="12:15" x14ac:dyDescent="0.25">
      <c r="L18"/>
      <c r="M18"/>
      <c r="N18"/>
      <c r="O18"/>
    </row>
    <row r="19" spans="12:15" x14ac:dyDescent="0.25">
      <c r="L19"/>
      <c r="M19"/>
      <c r="N19"/>
      <c r="O19"/>
    </row>
    <row r="20" spans="12:15" x14ac:dyDescent="0.25">
      <c r="L20"/>
      <c r="M20"/>
      <c r="N20"/>
      <c r="O20"/>
    </row>
    <row r="21" spans="12:15" x14ac:dyDescent="0.25">
      <c r="L21"/>
      <c r="M21"/>
      <c r="N21"/>
      <c r="O21"/>
    </row>
    <row r="22" spans="12:15" x14ac:dyDescent="0.25">
      <c r="L22"/>
      <c r="M22"/>
      <c r="N22"/>
      <c r="O22"/>
    </row>
    <row r="23" spans="12:15" x14ac:dyDescent="0.25">
      <c r="L23"/>
      <c r="M23"/>
      <c r="N23"/>
      <c r="O23"/>
    </row>
    <row r="24" spans="12:15" x14ac:dyDescent="0.25">
      <c r="L24"/>
      <c r="M24"/>
      <c r="N24"/>
      <c r="O24"/>
    </row>
    <row r="25" spans="12:15" x14ac:dyDescent="0.25">
      <c r="L25"/>
      <c r="M25"/>
      <c r="N25"/>
      <c r="O25"/>
    </row>
    <row r="26" spans="12:15" x14ac:dyDescent="0.25">
      <c r="L26"/>
      <c r="M26"/>
      <c r="N26"/>
      <c r="O26"/>
    </row>
    <row r="27" spans="12:15" x14ac:dyDescent="0.25">
      <c r="L27"/>
      <c r="M27"/>
      <c r="N27"/>
      <c r="O27"/>
    </row>
    <row r="28" spans="12:15" x14ac:dyDescent="0.25">
      <c r="L28"/>
      <c r="M28"/>
      <c r="N28"/>
      <c r="O28"/>
    </row>
    <row r="29" spans="12:15" x14ac:dyDescent="0.25">
      <c r="L29"/>
      <c r="M29"/>
      <c r="N29"/>
      <c r="O29"/>
    </row>
    <row r="30" spans="12:15" x14ac:dyDescent="0.25">
      <c r="L30"/>
      <c r="M30"/>
      <c r="N30"/>
      <c r="O30"/>
    </row>
    <row r="31" spans="12:15" x14ac:dyDescent="0.25">
      <c r="L31"/>
      <c r="M31"/>
      <c r="N31"/>
      <c r="O31"/>
    </row>
    <row r="32" spans="12:15" x14ac:dyDescent="0.25">
      <c r="L32"/>
      <c r="M32"/>
      <c r="N32"/>
      <c r="O32"/>
    </row>
    <row r="33" spans="12:15" x14ac:dyDescent="0.25">
      <c r="L33"/>
      <c r="M33"/>
      <c r="N33"/>
      <c r="O33"/>
    </row>
    <row r="34" spans="12:15" x14ac:dyDescent="0.25">
      <c r="L34"/>
      <c r="M34"/>
      <c r="N34"/>
      <c r="O34"/>
    </row>
    <row r="35" spans="12:15" x14ac:dyDescent="0.25">
      <c r="L35"/>
      <c r="M35"/>
      <c r="N35"/>
      <c r="O35"/>
    </row>
    <row r="36" spans="12:15" x14ac:dyDescent="0.25">
      <c r="L36"/>
      <c r="M36"/>
      <c r="N36"/>
      <c r="O36"/>
    </row>
    <row r="37" spans="12:15" x14ac:dyDescent="0.25">
      <c r="L37"/>
      <c r="M37"/>
      <c r="N37"/>
      <c r="O37"/>
    </row>
    <row r="38" spans="12:15" x14ac:dyDescent="0.25">
      <c r="L38"/>
      <c r="M38"/>
      <c r="N38"/>
      <c r="O38"/>
    </row>
    <row r="39" spans="12:15" x14ac:dyDescent="0.25">
      <c r="L39"/>
      <c r="M39"/>
      <c r="N39"/>
      <c r="O39"/>
    </row>
    <row r="40" spans="12:15" x14ac:dyDescent="0.25">
      <c r="L40"/>
      <c r="M40"/>
      <c r="N40"/>
      <c r="O40"/>
    </row>
    <row r="41" spans="12:15" x14ac:dyDescent="0.25">
      <c r="L41"/>
      <c r="M41"/>
      <c r="N41"/>
      <c r="O41"/>
    </row>
    <row r="42" spans="12:15" x14ac:dyDescent="0.25">
      <c r="L42"/>
      <c r="M42"/>
      <c r="N42"/>
      <c r="O42"/>
    </row>
    <row r="43" spans="12:15" x14ac:dyDescent="0.25">
      <c r="L43"/>
      <c r="M43"/>
      <c r="N43"/>
      <c r="O43"/>
    </row>
    <row r="44" spans="12:15" x14ac:dyDescent="0.25">
      <c r="L44"/>
      <c r="M44"/>
      <c r="N44"/>
      <c r="O44"/>
    </row>
    <row r="45" spans="12:15" x14ac:dyDescent="0.25">
      <c r="L45"/>
      <c r="M45"/>
      <c r="N45"/>
      <c r="O45"/>
    </row>
    <row r="46" spans="12:15" x14ac:dyDescent="0.25">
      <c r="L46"/>
      <c r="M46"/>
      <c r="N46"/>
      <c r="O46"/>
    </row>
    <row r="47" spans="12:15" x14ac:dyDescent="0.25">
      <c r="L47"/>
      <c r="M47"/>
      <c r="N47"/>
      <c r="O47"/>
    </row>
    <row r="48" spans="12:15" x14ac:dyDescent="0.25">
      <c r="L48"/>
      <c r="M48"/>
      <c r="N48"/>
      <c r="O48"/>
    </row>
  </sheetData>
  <mergeCells count="14">
    <mergeCell ref="J3:J5"/>
    <mergeCell ref="K3:K5"/>
    <mergeCell ref="L3:N4"/>
    <mergeCell ref="O3:Q4"/>
    <mergeCell ref="A1:Q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1"/>
  <sheetViews>
    <sheetView view="pageBreakPreview" zoomScale="75" zoomScaleNormal="100" zoomScaleSheetLayoutView="75" workbookViewId="0">
      <pane xSplit="3" ySplit="5" topLeftCell="AG98" activePane="bottomRight" state="frozen"/>
      <selection pane="topRight" activeCell="C1" sqref="C1"/>
      <selection pane="bottomLeft" activeCell="A6" sqref="A6"/>
      <selection pane="bottomRight" activeCell="AL101" sqref="AL101"/>
    </sheetView>
  </sheetViews>
  <sheetFormatPr defaultRowHeight="15" x14ac:dyDescent="0.25"/>
  <cols>
    <col min="1" max="1" width="14.85546875" customWidth="1"/>
    <col min="2" max="2" width="14.85546875" style="14" hidden="1" customWidth="1"/>
    <col min="3" max="3" width="24.140625" customWidth="1"/>
    <col min="4" max="4" width="20.28515625" customWidth="1"/>
    <col min="5" max="5" width="23.28515625" customWidth="1"/>
    <col min="6" max="6" width="16.140625" customWidth="1"/>
    <col min="7" max="7" width="18.42578125" customWidth="1"/>
    <col min="8" max="8" width="15.85546875" customWidth="1"/>
    <col min="9" max="9" width="17.7109375" customWidth="1"/>
    <col min="10" max="10" width="23.5703125" customWidth="1"/>
    <col min="11" max="11" width="20" customWidth="1"/>
    <col min="12" max="12" width="43.28515625" customWidth="1"/>
    <col min="13" max="13" width="10.7109375" customWidth="1"/>
    <col min="14" max="14" width="28.7109375" customWidth="1"/>
    <col min="15" max="15" width="18.85546875" customWidth="1"/>
    <col min="16" max="16" width="13" style="14" hidden="1" customWidth="1"/>
    <col min="17" max="17" width="14.140625" customWidth="1"/>
    <col min="18" max="18" width="41.28515625" customWidth="1"/>
    <col min="19" max="19" width="46.42578125" customWidth="1"/>
    <col min="20" max="20" width="13.85546875" style="14" hidden="1" customWidth="1"/>
    <col min="21" max="21" width="14.7109375" customWidth="1"/>
    <col min="22" max="22" width="39" customWidth="1"/>
    <col min="23" max="23" width="45" customWidth="1"/>
    <col min="24" max="24" width="13.5703125" style="14" hidden="1" customWidth="1"/>
    <col min="25" max="25" width="14" customWidth="1"/>
    <col min="26" max="26" width="39.140625" customWidth="1"/>
    <col min="27" max="27" width="34" customWidth="1"/>
    <col min="28" max="28" width="13.5703125" style="14" hidden="1" customWidth="1"/>
    <col min="29" max="29" width="13.28515625" customWidth="1"/>
    <col min="30" max="30" width="31.140625" customWidth="1"/>
    <col min="31" max="31" width="32.7109375" customWidth="1"/>
    <col min="32" max="32" width="12.85546875" style="14" hidden="1" customWidth="1"/>
    <col min="33" max="33" width="13.28515625" customWidth="1"/>
    <col min="34" max="34" width="29" customWidth="1"/>
    <col min="35" max="35" width="16.5703125" customWidth="1"/>
    <col min="36" max="36" width="13.140625" style="14" hidden="1" customWidth="1"/>
    <col min="37" max="37" width="27.28515625" customWidth="1"/>
    <col min="38" max="38" width="42.5703125" customWidth="1"/>
    <col min="39" max="39" width="129.85546875" customWidth="1"/>
    <col min="40" max="40" width="16.140625" style="14" hidden="1" customWidth="1"/>
    <col min="41" max="41" width="13.28515625" customWidth="1"/>
    <col min="42" max="42" width="23.28515625" customWidth="1"/>
    <col min="43" max="43" width="13.140625" customWidth="1"/>
    <col min="44" max="44" width="9.140625" style="14" customWidth="1"/>
    <col min="45" max="45" width="26.42578125" customWidth="1"/>
  </cols>
  <sheetData>
    <row r="1" spans="1:45" ht="65.25" customHeight="1" x14ac:dyDescent="0.25">
      <c r="A1" s="248" t="s">
        <v>18</v>
      </c>
      <c r="B1" s="248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</row>
    <row r="2" spans="1:45" ht="37.5" customHeight="1" x14ac:dyDescent="0.25">
      <c r="A2" s="242" t="s">
        <v>0</v>
      </c>
      <c r="B2" s="167"/>
      <c r="C2" s="239" t="s">
        <v>70</v>
      </c>
      <c r="D2" s="239" t="s">
        <v>158</v>
      </c>
      <c r="E2" s="239" t="s">
        <v>71</v>
      </c>
      <c r="F2" s="252" t="s">
        <v>135</v>
      </c>
      <c r="G2" s="252" t="s">
        <v>209</v>
      </c>
      <c r="H2" s="239" t="s">
        <v>136</v>
      </c>
      <c r="I2" s="252" t="s">
        <v>26</v>
      </c>
      <c r="J2" s="252" t="s">
        <v>226</v>
      </c>
      <c r="K2" s="239" t="s">
        <v>227</v>
      </c>
      <c r="L2" s="242" t="s">
        <v>27</v>
      </c>
      <c r="M2" s="246" t="s">
        <v>28</v>
      </c>
      <c r="N2" s="246"/>
      <c r="O2" s="246"/>
      <c r="P2" s="11"/>
      <c r="Q2" s="246" t="s">
        <v>11</v>
      </c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</row>
    <row r="3" spans="1:45" ht="56.25" customHeight="1" x14ac:dyDescent="0.25">
      <c r="A3" s="243"/>
      <c r="B3" s="173"/>
      <c r="C3" s="250"/>
      <c r="D3" s="240"/>
      <c r="E3" s="240"/>
      <c r="F3" s="253"/>
      <c r="G3" s="253"/>
      <c r="H3" s="240"/>
      <c r="I3" s="253"/>
      <c r="J3" s="253"/>
      <c r="K3" s="240"/>
      <c r="L3" s="243"/>
      <c r="M3" s="247"/>
      <c r="N3" s="247"/>
      <c r="O3" s="247"/>
      <c r="P3" s="12"/>
      <c r="Q3" s="272" t="s">
        <v>12</v>
      </c>
      <c r="R3" s="273"/>
      <c r="S3" s="274"/>
      <c r="T3" s="15"/>
      <c r="U3" s="272" t="s">
        <v>13</v>
      </c>
      <c r="V3" s="273"/>
      <c r="W3" s="274"/>
      <c r="X3" s="15"/>
      <c r="Y3" s="272" t="s">
        <v>30</v>
      </c>
      <c r="Z3" s="275"/>
      <c r="AA3" s="276"/>
      <c r="AB3" s="17"/>
      <c r="AC3" s="272" t="s">
        <v>14</v>
      </c>
      <c r="AD3" s="275"/>
      <c r="AE3" s="276"/>
      <c r="AF3" s="17"/>
      <c r="AG3" s="272" t="s">
        <v>15</v>
      </c>
      <c r="AH3" s="277"/>
      <c r="AI3" s="274"/>
      <c r="AJ3" s="15"/>
      <c r="AK3" s="272" t="s">
        <v>16</v>
      </c>
      <c r="AL3" s="273"/>
      <c r="AM3" s="274"/>
      <c r="AN3" s="18"/>
      <c r="AO3" s="242" t="s">
        <v>17</v>
      </c>
      <c r="AP3" s="247"/>
      <c r="AQ3" s="247"/>
    </row>
    <row r="4" spans="1:45" ht="110.45" customHeight="1" x14ac:dyDescent="0.25">
      <c r="A4" s="243"/>
      <c r="B4" s="174"/>
      <c r="C4" s="251"/>
      <c r="D4" s="241"/>
      <c r="E4" s="241"/>
      <c r="F4" s="254"/>
      <c r="G4" s="254"/>
      <c r="H4" s="241"/>
      <c r="I4" s="254"/>
      <c r="J4" s="254"/>
      <c r="K4" s="241"/>
      <c r="L4" s="243"/>
      <c r="M4" s="8" t="s">
        <v>8</v>
      </c>
      <c r="N4" s="8" t="s">
        <v>35</v>
      </c>
      <c r="O4" s="7" t="s">
        <v>19</v>
      </c>
      <c r="P4" s="11"/>
      <c r="Q4" s="8" t="s">
        <v>9</v>
      </c>
      <c r="R4" s="8" t="s">
        <v>10</v>
      </c>
      <c r="S4" s="7" t="s">
        <v>7</v>
      </c>
      <c r="T4" s="11"/>
      <c r="U4" s="8" t="s">
        <v>9</v>
      </c>
      <c r="V4" s="8" t="s">
        <v>10</v>
      </c>
      <c r="W4" s="7" t="s">
        <v>7</v>
      </c>
      <c r="X4" s="11"/>
      <c r="Y4" s="8" t="s">
        <v>9</v>
      </c>
      <c r="Z4" s="8" t="s">
        <v>10</v>
      </c>
      <c r="AA4" s="7" t="s">
        <v>7</v>
      </c>
      <c r="AB4" s="11"/>
      <c r="AC4" s="8" t="s">
        <v>9</v>
      </c>
      <c r="AD4" s="8" t="s">
        <v>10</v>
      </c>
      <c r="AE4" s="7" t="s">
        <v>7</v>
      </c>
      <c r="AF4" s="11"/>
      <c r="AG4" s="8" t="s">
        <v>9</v>
      </c>
      <c r="AH4" s="8" t="s">
        <v>10</v>
      </c>
      <c r="AI4" s="7" t="s">
        <v>7</v>
      </c>
      <c r="AJ4" s="11"/>
      <c r="AK4" s="8" t="s">
        <v>9</v>
      </c>
      <c r="AL4" s="8" t="s">
        <v>10</v>
      </c>
      <c r="AM4" s="7" t="s">
        <v>7</v>
      </c>
      <c r="AN4" s="11"/>
      <c r="AO4" s="8" t="s">
        <v>9</v>
      </c>
      <c r="AP4" s="8" t="s">
        <v>10</v>
      </c>
      <c r="AQ4" s="7" t="s">
        <v>7</v>
      </c>
      <c r="AR4" s="14" t="s">
        <v>139</v>
      </c>
      <c r="AS4" s="22" t="s">
        <v>140</v>
      </c>
    </row>
    <row r="5" spans="1:45" x14ac:dyDescent="0.25">
      <c r="A5" s="4">
        <v>1</v>
      </c>
      <c r="B5" s="13"/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13"/>
      <c r="Q5" s="4">
        <v>15</v>
      </c>
      <c r="R5" s="10">
        <v>16</v>
      </c>
      <c r="S5" s="10">
        <v>17</v>
      </c>
      <c r="T5" s="16"/>
      <c r="U5" s="10">
        <v>18</v>
      </c>
      <c r="V5" s="10">
        <v>19</v>
      </c>
      <c r="W5" s="10">
        <v>20</v>
      </c>
      <c r="X5" s="16"/>
      <c r="Y5" s="10">
        <v>21</v>
      </c>
      <c r="Z5" s="10">
        <v>22</v>
      </c>
      <c r="AA5" s="10">
        <v>23</v>
      </c>
      <c r="AB5" s="16"/>
      <c r="AC5" s="10">
        <v>24</v>
      </c>
      <c r="AD5" s="10">
        <v>25</v>
      </c>
      <c r="AE5" s="10">
        <v>26</v>
      </c>
      <c r="AF5" s="16"/>
      <c r="AG5" s="10">
        <v>27</v>
      </c>
      <c r="AH5" s="10">
        <v>28</v>
      </c>
      <c r="AI5" s="10">
        <v>29</v>
      </c>
      <c r="AJ5" s="16"/>
      <c r="AK5" s="10">
        <v>30</v>
      </c>
      <c r="AL5" s="10">
        <v>31</v>
      </c>
      <c r="AM5" s="10">
        <v>32</v>
      </c>
      <c r="AN5" s="16"/>
      <c r="AO5" s="10">
        <v>33</v>
      </c>
      <c r="AP5" s="10">
        <v>34</v>
      </c>
      <c r="AQ5" s="4">
        <v>35</v>
      </c>
    </row>
    <row r="6" spans="1:45" s="123" customFormat="1" ht="108" customHeight="1" x14ac:dyDescent="0.25">
      <c r="A6" s="278" t="s">
        <v>47</v>
      </c>
      <c r="B6" s="212">
        <f>P11+T11+X11+AB11+AF11+AJ11+AN11</f>
        <v>3895.3099999999995</v>
      </c>
      <c r="C6" s="255">
        <f>F6</f>
        <v>3856.3569000000002</v>
      </c>
      <c r="D6" s="255">
        <v>99</v>
      </c>
      <c r="E6" s="255">
        <f>B7*1/100</f>
        <v>38.953099999999999</v>
      </c>
      <c r="F6" s="255">
        <f>B7*99/100</f>
        <v>3856.3569000000002</v>
      </c>
      <c r="G6" s="255">
        <f>F6/C101*100</f>
        <v>12.52015555243158</v>
      </c>
      <c r="H6" s="255">
        <f>E6</f>
        <v>38.953099999999999</v>
      </c>
      <c r="I6" s="255">
        <v>0</v>
      </c>
      <c r="J6" s="255">
        <v>0</v>
      </c>
      <c r="K6" s="255">
        <v>0</v>
      </c>
      <c r="L6" s="278" t="s">
        <v>232</v>
      </c>
      <c r="M6" s="114"/>
      <c r="N6" s="114"/>
      <c r="O6" s="114"/>
      <c r="P6" s="23">
        <f>SUM(P101)</f>
        <v>0</v>
      </c>
      <c r="Q6" s="116"/>
      <c r="R6" s="116" t="s">
        <v>101</v>
      </c>
      <c r="S6" s="116">
        <v>21.9</v>
      </c>
      <c r="T6" s="24">
        <f>S6*2</f>
        <v>43.8</v>
      </c>
      <c r="U6" s="116"/>
      <c r="V6" s="116" t="s">
        <v>106</v>
      </c>
      <c r="W6" s="118">
        <v>0.8</v>
      </c>
      <c r="X6" s="25">
        <f>W6*2</f>
        <v>1.6</v>
      </c>
      <c r="Y6" s="127" t="s">
        <v>131</v>
      </c>
      <c r="Z6" s="127" t="s">
        <v>131</v>
      </c>
      <c r="AA6" s="128">
        <v>140</v>
      </c>
      <c r="AB6" s="26">
        <f>AA6*1</f>
        <v>140</v>
      </c>
      <c r="AC6" s="120"/>
      <c r="AD6" s="120" t="s">
        <v>151</v>
      </c>
      <c r="AE6" s="120" t="s">
        <v>130</v>
      </c>
      <c r="AF6" s="27">
        <f>181.6+146+207</f>
        <v>534.6</v>
      </c>
      <c r="AG6" s="120" t="s">
        <v>144</v>
      </c>
      <c r="AH6" s="120" t="s">
        <v>112</v>
      </c>
      <c r="AI6" s="120">
        <v>239.5</v>
      </c>
      <c r="AJ6" s="27">
        <f>AI6*1</f>
        <v>239.5</v>
      </c>
      <c r="AK6" s="120" t="s">
        <v>144</v>
      </c>
      <c r="AL6" s="120" t="s">
        <v>114</v>
      </c>
      <c r="AM6" s="120">
        <v>198.9</v>
      </c>
      <c r="AN6" s="27">
        <f>AM6*2</f>
        <v>397.8</v>
      </c>
      <c r="AO6" s="121"/>
      <c r="AP6" s="121"/>
      <c r="AQ6" s="121"/>
      <c r="AR6" s="123">
        <f t="shared" ref="AR6:AR99" si="0">P6+T6+X6+AB6+AF6+AJ6+AN6</f>
        <v>1357.3</v>
      </c>
      <c r="AS6" s="123">
        <f>AR6+AR7+AR8+AR9+AR10</f>
        <v>3895.31</v>
      </c>
    </row>
    <row r="7" spans="1:45" s="123" customFormat="1" ht="111" customHeight="1" x14ac:dyDescent="0.25">
      <c r="A7" s="279"/>
      <c r="B7" s="213">
        <v>3895.31</v>
      </c>
      <c r="C7" s="256"/>
      <c r="D7" s="256"/>
      <c r="E7" s="256"/>
      <c r="F7" s="256"/>
      <c r="G7" s="256"/>
      <c r="H7" s="256"/>
      <c r="I7" s="256"/>
      <c r="J7" s="256"/>
      <c r="K7" s="256"/>
      <c r="L7" s="279"/>
      <c r="M7" s="114"/>
      <c r="N7" s="114"/>
      <c r="O7" s="114"/>
      <c r="P7" s="23"/>
      <c r="Q7" s="116"/>
      <c r="R7" s="116" t="s">
        <v>102</v>
      </c>
      <c r="S7" s="117">
        <v>8</v>
      </c>
      <c r="T7" s="166">
        <f>S7*2</f>
        <v>16</v>
      </c>
      <c r="U7" s="116"/>
      <c r="V7" s="116" t="s">
        <v>107</v>
      </c>
      <c r="W7" s="129">
        <v>170</v>
      </c>
      <c r="X7" s="25">
        <f>W7*2</f>
        <v>340</v>
      </c>
      <c r="Y7" s="127"/>
      <c r="Z7" s="127" t="s">
        <v>132</v>
      </c>
      <c r="AA7" s="127" t="s">
        <v>150</v>
      </c>
      <c r="AB7" s="26">
        <f>19.83+53.5+47.18</f>
        <v>120.50999999999999</v>
      </c>
      <c r="AC7" s="120"/>
      <c r="AD7" s="120" t="s">
        <v>110</v>
      </c>
      <c r="AE7" s="120">
        <v>180</v>
      </c>
      <c r="AF7" s="27">
        <f>AE7*2</f>
        <v>360</v>
      </c>
      <c r="AG7" s="120" t="s">
        <v>153</v>
      </c>
      <c r="AH7" s="120" t="s">
        <v>113</v>
      </c>
      <c r="AI7" s="130">
        <v>40</v>
      </c>
      <c r="AJ7" s="27">
        <f>AI7*6</f>
        <v>240</v>
      </c>
      <c r="AK7" s="120" t="s">
        <v>144</v>
      </c>
      <c r="AL7" s="120" t="s">
        <v>115</v>
      </c>
      <c r="AM7" s="120">
        <v>53</v>
      </c>
      <c r="AN7" s="27">
        <f>AM7*1</f>
        <v>53</v>
      </c>
      <c r="AO7" s="121"/>
      <c r="AP7" s="121"/>
      <c r="AQ7" s="121"/>
      <c r="AR7" s="123">
        <f t="shared" si="0"/>
        <v>1129.51</v>
      </c>
      <c r="AS7" s="131"/>
    </row>
    <row r="8" spans="1:45" s="123" customFormat="1" ht="69" customHeight="1" x14ac:dyDescent="0.25">
      <c r="A8" s="279"/>
      <c r="B8" s="213"/>
      <c r="C8" s="256"/>
      <c r="D8" s="256"/>
      <c r="E8" s="256"/>
      <c r="F8" s="256"/>
      <c r="G8" s="256"/>
      <c r="H8" s="256"/>
      <c r="I8" s="256"/>
      <c r="J8" s="256"/>
      <c r="K8" s="256"/>
      <c r="L8" s="279"/>
      <c r="M8" s="114"/>
      <c r="N8" s="114"/>
      <c r="O8" s="114"/>
      <c r="P8" s="23"/>
      <c r="Q8" s="116"/>
      <c r="R8" s="116" t="s">
        <v>103</v>
      </c>
      <c r="S8" s="116">
        <v>2.9</v>
      </c>
      <c r="T8" s="24">
        <f>S8*1</f>
        <v>2.9</v>
      </c>
      <c r="U8" s="116"/>
      <c r="V8" s="116" t="s">
        <v>108</v>
      </c>
      <c r="W8" s="118">
        <v>2.5</v>
      </c>
      <c r="X8" s="25">
        <f>W8*2</f>
        <v>5</v>
      </c>
      <c r="Y8" s="121"/>
      <c r="Z8" s="127"/>
      <c r="AA8" s="132"/>
      <c r="AB8" s="26"/>
      <c r="AC8" s="120"/>
      <c r="AD8" s="120" t="s">
        <v>133</v>
      </c>
      <c r="AE8" s="120" t="s">
        <v>152</v>
      </c>
      <c r="AF8" s="27">
        <f>15*31.1</f>
        <v>466.5</v>
      </c>
      <c r="AG8" s="133"/>
      <c r="AH8" s="120"/>
      <c r="AI8" s="120"/>
      <c r="AJ8" s="29"/>
      <c r="AK8" s="120" t="s">
        <v>210</v>
      </c>
      <c r="AL8" s="120" t="s">
        <v>211</v>
      </c>
      <c r="AM8" s="120">
        <v>110</v>
      </c>
      <c r="AN8" s="25">
        <f>AM8*5</f>
        <v>550</v>
      </c>
      <c r="AO8" s="121"/>
      <c r="AP8" s="121"/>
      <c r="AQ8" s="121"/>
      <c r="AR8" s="123">
        <f t="shared" si="0"/>
        <v>1024.4000000000001</v>
      </c>
    </row>
    <row r="9" spans="1:45" s="123" customFormat="1" ht="82.15" customHeight="1" x14ac:dyDescent="0.25">
      <c r="A9" s="279"/>
      <c r="B9" s="213"/>
      <c r="C9" s="256"/>
      <c r="D9" s="256"/>
      <c r="E9" s="256"/>
      <c r="F9" s="256"/>
      <c r="G9" s="256"/>
      <c r="H9" s="256"/>
      <c r="I9" s="256"/>
      <c r="J9" s="256"/>
      <c r="K9" s="256"/>
      <c r="L9" s="279"/>
      <c r="M9" s="114"/>
      <c r="N9" s="114"/>
      <c r="O9" s="114"/>
      <c r="P9" s="23"/>
      <c r="Q9" s="116" t="s">
        <v>104</v>
      </c>
      <c r="R9" s="116" t="s">
        <v>104</v>
      </c>
      <c r="S9" s="116">
        <v>3.5</v>
      </c>
      <c r="T9" s="24">
        <f>S9*5</f>
        <v>17.5</v>
      </c>
      <c r="U9" s="116"/>
      <c r="V9" s="116" t="s">
        <v>109</v>
      </c>
      <c r="W9" s="129">
        <v>7</v>
      </c>
      <c r="X9" s="168">
        <f>W9*1</f>
        <v>7</v>
      </c>
      <c r="Y9" s="121"/>
      <c r="Z9" s="127"/>
      <c r="AA9" s="128"/>
      <c r="AB9" s="26"/>
      <c r="AC9" s="120"/>
      <c r="AD9" s="120" t="s">
        <v>111</v>
      </c>
      <c r="AE9" s="120">
        <v>2.6</v>
      </c>
      <c r="AF9" s="27">
        <f>AE9*6</f>
        <v>15.600000000000001</v>
      </c>
      <c r="AG9" s="114"/>
      <c r="AH9" s="114"/>
      <c r="AI9" s="114"/>
      <c r="AJ9" s="29"/>
      <c r="AK9" s="120" t="s">
        <v>154</v>
      </c>
      <c r="AL9" s="120" t="s">
        <v>134</v>
      </c>
      <c r="AM9" s="120" t="s">
        <v>137</v>
      </c>
      <c r="AN9" s="25">
        <f>20.5+1</f>
        <v>21.5</v>
      </c>
      <c r="AO9" s="121"/>
      <c r="AP9" s="121"/>
      <c r="AQ9" s="121"/>
      <c r="AR9" s="123">
        <f t="shared" si="0"/>
        <v>61.6</v>
      </c>
    </row>
    <row r="10" spans="1:45" s="123" customFormat="1" ht="57.6" customHeight="1" x14ac:dyDescent="0.25">
      <c r="A10" s="280"/>
      <c r="B10" s="214"/>
      <c r="C10" s="257"/>
      <c r="D10" s="257"/>
      <c r="E10" s="257"/>
      <c r="F10" s="257"/>
      <c r="G10" s="257"/>
      <c r="H10" s="257"/>
      <c r="I10" s="257"/>
      <c r="J10" s="257"/>
      <c r="K10" s="257"/>
      <c r="L10" s="280"/>
      <c r="M10" s="114"/>
      <c r="N10" s="114"/>
      <c r="O10" s="114"/>
      <c r="P10" s="23"/>
      <c r="Q10" s="116" t="s">
        <v>105</v>
      </c>
      <c r="R10" s="116" t="s">
        <v>105</v>
      </c>
      <c r="S10" s="116">
        <v>0.5</v>
      </c>
      <c r="T10" s="24">
        <f>S10*5</f>
        <v>2.5</v>
      </c>
      <c r="U10" s="126"/>
      <c r="V10" s="114"/>
      <c r="W10" s="118"/>
      <c r="X10" s="25"/>
      <c r="Y10" s="121"/>
      <c r="Z10" s="127"/>
      <c r="AA10" s="128"/>
      <c r="AB10" s="26"/>
      <c r="AC10" s="134"/>
      <c r="AD10" s="114"/>
      <c r="AE10" s="114"/>
      <c r="AF10" s="28"/>
      <c r="AG10" s="121"/>
      <c r="AH10" s="121"/>
      <c r="AI10" s="121"/>
      <c r="AJ10" s="29"/>
      <c r="AK10" s="120" t="s">
        <v>155</v>
      </c>
      <c r="AL10" s="120" t="s">
        <v>212</v>
      </c>
      <c r="AM10" s="120">
        <v>320</v>
      </c>
      <c r="AN10" s="25">
        <f>AM10*1</f>
        <v>320</v>
      </c>
      <c r="AO10" s="121"/>
      <c r="AP10" s="121"/>
      <c r="AQ10" s="121"/>
      <c r="AR10" s="123">
        <f t="shared" si="0"/>
        <v>322.5</v>
      </c>
    </row>
    <row r="11" spans="1:45" s="28" customFormat="1" ht="57.6" hidden="1" customHeight="1" x14ac:dyDescent="0.25">
      <c r="A11" s="170"/>
      <c r="B11" s="214">
        <f>B6</f>
        <v>3895.3099999999995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71"/>
      <c r="M11" s="44"/>
      <c r="N11" s="44"/>
      <c r="O11" s="44"/>
      <c r="P11" s="23">
        <f>SUM(P6:P10)</f>
        <v>0</v>
      </c>
      <c r="Q11" s="23"/>
      <c r="R11" s="23"/>
      <c r="S11" s="23"/>
      <c r="T11" s="23">
        <f>SUM(T6:T10)</f>
        <v>82.699999999999989</v>
      </c>
      <c r="U11" s="23"/>
      <c r="V11" s="23"/>
      <c r="W11" s="23"/>
      <c r="X11" s="23">
        <f t="shared" ref="X11" si="1">SUM(X6:X10)</f>
        <v>353.6</v>
      </c>
      <c r="Y11" s="23"/>
      <c r="Z11" s="23"/>
      <c r="AA11" s="23"/>
      <c r="AB11" s="23">
        <f t="shared" ref="AB11" si="2">SUM(AB6:AB10)</f>
        <v>260.51</v>
      </c>
      <c r="AC11" s="23"/>
      <c r="AD11" s="23"/>
      <c r="AE11" s="23"/>
      <c r="AF11" s="23">
        <f t="shared" ref="AF11" si="3">SUM(AF6:AF10)</f>
        <v>1376.6999999999998</v>
      </c>
      <c r="AG11" s="23"/>
      <c r="AH11" s="23"/>
      <c r="AI11" s="23"/>
      <c r="AJ11" s="23">
        <f t="shared" ref="AJ11" si="4">SUM(AJ6:AJ10)</f>
        <v>479.5</v>
      </c>
      <c r="AK11" s="23"/>
      <c r="AL11" s="23"/>
      <c r="AM11" s="23"/>
      <c r="AN11" s="23">
        <f t="shared" ref="AN11" si="5">SUM(AN6:AN10)</f>
        <v>1342.3</v>
      </c>
      <c r="AO11" s="29"/>
      <c r="AP11" s="29"/>
      <c r="AQ11" s="29"/>
    </row>
    <row r="12" spans="1:45" s="38" customFormat="1" ht="102.75" customHeight="1" x14ac:dyDescent="0.25">
      <c r="A12" s="30"/>
      <c r="B12" s="186"/>
      <c r="C12" s="258">
        <f>F12</f>
        <v>431.14499999999998</v>
      </c>
      <c r="D12" s="258">
        <v>99</v>
      </c>
      <c r="E12" s="258">
        <f>B13*1/100</f>
        <v>4.3550000000000004</v>
      </c>
      <c r="F12" s="258">
        <f>B13*99/100</f>
        <v>431.14499999999998</v>
      </c>
      <c r="G12" s="258">
        <f>F12/C101*100</f>
        <v>1.399767346651217</v>
      </c>
      <c r="H12" s="258">
        <f>E12</f>
        <v>4.3550000000000004</v>
      </c>
      <c r="I12" s="258">
        <v>0</v>
      </c>
      <c r="J12" s="258">
        <v>0</v>
      </c>
      <c r="K12" s="258">
        <v>0</v>
      </c>
      <c r="L12" s="298" t="s">
        <v>231</v>
      </c>
      <c r="M12" s="30"/>
      <c r="N12" s="30"/>
      <c r="O12" s="30"/>
      <c r="P12" s="31"/>
      <c r="Q12" s="32"/>
      <c r="R12" s="32" t="s">
        <v>76</v>
      </c>
      <c r="S12" s="32">
        <v>8.1</v>
      </c>
      <c r="T12" s="33">
        <f>S12*2</f>
        <v>16.2</v>
      </c>
      <c r="U12" s="94"/>
      <c r="V12" s="32" t="s">
        <v>157</v>
      </c>
      <c r="W12" s="34">
        <v>11.9</v>
      </c>
      <c r="X12" s="25">
        <f>W12*1</f>
        <v>11.9</v>
      </c>
      <c r="Y12" s="35"/>
      <c r="Z12" s="110"/>
      <c r="AA12" s="36"/>
      <c r="AB12" s="27"/>
      <c r="AC12" s="35"/>
      <c r="AD12" s="36"/>
      <c r="AE12" s="36"/>
      <c r="AF12" s="27"/>
      <c r="AG12" s="35"/>
      <c r="AH12" s="32" t="s">
        <v>79</v>
      </c>
      <c r="AI12" s="32">
        <v>69.7</v>
      </c>
      <c r="AJ12" s="33">
        <f>AI12*2</f>
        <v>139.4</v>
      </c>
      <c r="AK12" s="35"/>
      <c r="AL12" s="37"/>
      <c r="AM12" s="35"/>
      <c r="AN12" s="29"/>
      <c r="AO12" s="35"/>
      <c r="AP12" s="35"/>
      <c r="AQ12" s="35"/>
      <c r="AR12" s="38">
        <f t="shared" si="0"/>
        <v>167.5</v>
      </c>
      <c r="AS12" s="38">
        <f>AR12+AR13</f>
        <v>435.5</v>
      </c>
    </row>
    <row r="13" spans="1:45" s="38" customFormat="1" ht="60.75" customHeight="1" x14ac:dyDescent="0.25">
      <c r="A13" s="30"/>
      <c r="B13" s="186">
        <v>435.5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99"/>
      <c r="M13" s="30"/>
      <c r="N13" s="30"/>
      <c r="O13" s="30"/>
      <c r="P13" s="39"/>
      <c r="Q13" s="93" t="s">
        <v>156</v>
      </c>
      <c r="R13" s="32" t="s">
        <v>77</v>
      </c>
      <c r="S13" s="32">
        <v>18.600000000000001</v>
      </c>
      <c r="T13" s="40">
        <f>S13*4</f>
        <v>74.400000000000006</v>
      </c>
      <c r="U13" s="94" t="s">
        <v>144</v>
      </c>
      <c r="V13" s="32" t="s">
        <v>66</v>
      </c>
      <c r="W13" s="34">
        <v>193.6</v>
      </c>
      <c r="X13" s="25">
        <f>W13*1</f>
        <v>193.6</v>
      </c>
      <c r="Y13" s="35"/>
      <c r="Z13" s="110"/>
      <c r="AA13" s="36"/>
      <c r="AB13" s="27"/>
      <c r="AC13" s="35"/>
      <c r="AD13" s="36"/>
      <c r="AE13" s="36"/>
      <c r="AF13" s="27"/>
      <c r="AG13" s="35"/>
      <c r="AH13" s="35"/>
      <c r="AI13" s="35"/>
      <c r="AJ13" s="29"/>
      <c r="AK13" s="35"/>
      <c r="AL13" s="37"/>
      <c r="AM13" s="35"/>
      <c r="AN13" s="29"/>
      <c r="AO13" s="35"/>
      <c r="AP13" s="35"/>
      <c r="AQ13" s="35"/>
      <c r="AR13" s="38">
        <f t="shared" si="0"/>
        <v>268</v>
      </c>
    </row>
    <row r="14" spans="1:45" s="28" customFormat="1" ht="60.75" hidden="1" customHeight="1" x14ac:dyDescent="0.25">
      <c r="A14" s="44"/>
      <c r="B14" s="223">
        <f>P14+T14+X14+AB14+AF14+AJ14+AN14</f>
        <v>435.5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71"/>
      <c r="M14" s="44"/>
      <c r="N14" s="44"/>
      <c r="O14" s="44"/>
      <c r="P14" s="81"/>
      <c r="Q14" s="177"/>
      <c r="R14" s="33"/>
      <c r="S14" s="33"/>
      <c r="T14" s="40">
        <f>SUM(T12:T13)</f>
        <v>90.600000000000009</v>
      </c>
      <c r="U14" s="178"/>
      <c r="V14" s="33"/>
      <c r="W14" s="25"/>
      <c r="X14" s="25">
        <f>SUM(X12:X13)</f>
        <v>205.5</v>
      </c>
      <c r="Y14" s="179"/>
      <c r="Z14" s="180"/>
      <c r="AA14" s="27"/>
      <c r="AB14" s="27">
        <f>AB12+AB13</f>
        <v>0</v>
      </c>
      <c r="AC14" s="29"/>
      <c r="AD14" s="27"/>
      <c r="AE14" s="27"/>
      <c r="AF14" s="27">
        <f>AF12+AF13</f>
        <v>0</v>
      </c>
      <c r="AG14" s="29"/>
      <c r="AH14" s="29"/>
      <c r="AI14" s="29"/>
      <c r="AJ14" s="29">
        <f>AJ12+AJ13</f>
        <v>139.4</v>
      </c>
      <c r="AK14" s="29"/>
      <c r="AL14" s="181"/>
      <c r="AM14" s="29"/>
      <c r="AN14" s="29">
        <f>AN12+AN13</f>
        <v>0</v>
      </c>
      <c r="AO14" s="29"/>
      <c r="AP14" s="29"/>
      <c r="AQ14" s="29"/>
    </row>
    <row r="15" spans="1:45" s="123" customFormat="1" ht="93" customHeight="1" x14ac:dyDescent="0.25">
      <c r="A15" s="114"/>
      <c r="B15" s="186"/>
      <c r="C15" s="255">
        <f>F15</f>
        <v>155.232</v>
      </c>
      <c r="D15" s="255">
        <v>99</v>
      </c>
      <c r="E15" s="255">
        <f>B17*1/100</f>
        <v>1.5680000000000001</v>
      </c>
      <c r="F15" s="255">
        <f>B17*99/100</f>
        <v>155.232</v>
      </c>
      <c r="G15" s="255">
        <f>F15/C101*100</f>
        <v>0.50398052802505355</v>
      </c>
      <c r="H15" s="255">
        <f>E15</f>
        <v>1.5680000000000001</v>
      </c>
      <c r="I15" s="255">
        <v>0</v>
      </c>
      <c r="J15" s="255">
        <v>0</v>
      </c>
      <c r="K15" s="255">
        <v>0</v>
      </c>
      <c r="L15" s="278" t="s">
        <v>230</v>
      </c>
      <c r="M15" s="114"/>
      <c r="N15" s="114"/>
      <c r="O15" s="114"/>
      <c r="P15" s="41"/>
      <c r="Q15" s="115"/>
      <c r="R15" s="116" t="s">
        <v>80</v>
      </c>
      <c r="S15" s="117">
        <v>10</v>
      </c>
      <c r="T15" s="42">
        <f>S15*1</f>
        <v>10</v>
      </c>
      <c r="U15" s="116"/>
      <c r="V15" s="116" t="s">
        <v>81</v>
      </c>
      <c r="W15" s="118" t="s">
        <v>129</v>
      </c>
      <c r="X15" s="25">
        <f>18.58+6.317+0.694</f>
        <v>25.590999999999998</v>
      </c>
      <c r="Y15" s="119"/>
      <c r="Z15" s="119" t="s">
        <v>73</v>
      </c>
      <c r="AA15" s="120" t="s">
        <v>138</v>
      </c>
      <c r="AB15" s="27">
        <f>18.33+16.557</f>
        <v>34.887</v>
      </c>
      <c r="AC15" s="121"/>
      <c r="AD15" s="120"/>
      <c r="AE15" s="120"/>
      <c r="AF15" s="27">
        <f t="shared" ref="AF15:AF18" si="6">SUM(AF14)</f>
        <v>0</v>
      </c>
      <c r="AG15" s="121"/>
      <c r="AH15" s="121"/>
      <c r="AI15" s="121"/>
      <c r="AJ15" s="29"/>
      <c r="AK15" s="236" t="s">
        <v>82</v>
      </c>
      <c r="AL15" s="236">
        <v>53.6</v>
      </c>
      <c r="AM15" s="121"/>
      <c r="AN15" s="29"/>
      <c r="AO15" s="121"/>
      <c r="AP15" s="121"/>
      <c r="AQ15" s="121"/>
      <c r="AR15" s="123">
        <f t="shared" si="0"/>
        <v>70.477999999999994</v>
      </c>
      <c r="AS15" s="123">
        <f>AR15+AR16+AR17</f>
        <v>156.77800000000002</v>
      </c>
    </row>
    <row r="16" spans="1:45" s="123" customFormat="1" ht="60.75" customHeight="1" x14ac:dyDescent="0.25">
      <c r="A16" s="114"/>
      <c r="B16" s="186"/>
      <c r="C16" s="256"/>
      <c r="D16" s="256"/>
      <c r="E16" s="256"/>
      <c r="F16" s="256"/>
      <c r="G16" s="256"/>
      <c r="H16" s="256"/>
      <c r="I16" s="256"/>
      <c r="J16" s="256"/>
      <c r="K16" s="256"/>
      <c r="L16" s="279"/>
      <c r="M16" s="114"/>
      <c r="N16" s="114"/>
      <c r="O16" s="114"/>
      <c r="P16" s="41"/>
      <c r="Q16" s="124"/>
      <c r="R16" s="116"/>
      <c r="S16" s="116"/>
      <c r="T16" s="33"/>
      <c r="U16" s="116"/>
      <c r="W16" s="114"/>
      <c r="X16" s="44"/>
      <c r="Y16" s="125"/>
      <c r="AB16" s="27">
        <f>AL15*1</f>
        <v>53.6</v>
      </c>
      <c r="AC16" s="121"/>
      <c r="AD16" s="120"/>
      <c r="AE16" s="120"/>
      <c r="AF16" s="27">
        <f t="shared" si="6"/>
        <v>0</v>
      </c>
      <c r="AG16" s="121"/>
      <c r="AH16" s="121"/>
      <c r="AI16" s="121"/>
      <c r="AJ16" s="29"/>
      <c r="AK16" s="236" t="s">
        <v>83</v>
      </c>
      <c r="AL16" s="236">
        <v>32.700000000000003</v>
      </c>
      <c r="AM16" s="121"/>
      <c r="AN16" s="29"/>
      <c r="AO16" s="121"/>
      <c r="AP16" s="121"/>
      <c r="AQ16" s="121"/>
      <c r="AR16" s="123">
        <f t="shared" si="0"/>
        <v>53.6</v>
      </c>
    </row>
    <row r="17" spans="1:45" s="123" customFormat="1" ht="0.6" customHeight="1" x14ac:dyDescent="0.25">
      <c r="A17" s="114"/>
      <c r="B17" s="186">
        <v>156.80000000000001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80"/>
      <c r="M17" s="114"/>
      <c r="N17" s="114"/>
      <c r="O17" s="114"/>
      <c r="P17" s="44"/>
      <c r="Q17" s="121"/>
      <c r="R17" s="114"/>
      <c r="T17" s="28"/>
      <c r="U17" s="116"/>
      <c r="V17" s="116"/>
      <c r="W17" s="118"/>
      <c r="X17" s="25"/>
      <c r="Y17" s="125"/>
      <c r="AB17" s="27">
        <f>AL16*1</f>
        <v>32.700000000000003</v>
      </c>
      <c r="AC17" s="121"/>
      <c r="AD17" s="120"/>
      <c r="AE17" s="120"/>
      <c r="AF17" s="27">
        <f t="shared" si="6"/>
        <v>0</v>
      </c>
      <c r="AG17" s="121"/>
      <c r="AH17" s="121"/>
      <c r="AI17" s="121"/>
      <c r="AJ17" s="29"/>
      <c r="AK17" s="121"/>
      <c r="AL17" s="122"/>
      <c r="AM17" s="121"/>
      <c r="AN17" s="29"/>
      <c r="AO17" s="121"/>
      <c r="AP17" s="121"/>
      <c r="AQ17" s="121"/>
      <c r="AR17" s="123">
        <f t="shared" si="0"/>
        <v>32.700000000000003</v>
      </c>
    </row>
    <row r="18" spans="1:45" s="28" customFormat="1" ht="60.75" hidden="1" customHeight="1" x14ac:dyDescent="0.25">
      <c r="A18" s="44"/>
      <c r="B18" s="186">
        <f>P18+T18+X18+AB18+AF18+AJ18+AN18</f>
        <v>156.77799999999999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2"/>
      <c r="M18" s="44"/>
      <c r="N18" s="44"/>
      <c r="O18" s="44"/>
      <c r="P18" s="41"/>
      <c r="Q18" s="179"/>
      <c r="R18" s="44"/>
      <c r="T18" s="55">
        <f>SUM(T15:T17)</f>
        <v>10</v>
      </c>
      <c r="U18" s="33"/>
      <c r="V18" s="33"/>
      <c r="W18" s="25"/>
      <c r="X18" s="43">
        <f>SUM(X15:X17)</f>
        <v>25.590999999999998</v>
      </c>
      <c r="Y18" s="185"/>
      <c r="Z18" s="180"/>
      <c r="AA18" s="27"/>
      <c r="AB18" s="27">
        <f>SUM(AB15:AB17)</f>
        <v>121.187</v>
      </c>
      <c r="AC18" s="29"/>
      <c r="AD18" s="27"/>
      <c r="AE18" s="27"/>
      <c r="AF18" s="27">
        <f t="shared" si="6"/>
        <v>0</v>
      </c>
      <c r="AG18" s="29"/>
      <c r="AH18" s="29"/>
      <c r="AI18" s="29"/>
      <c r="AJ18" s="29">
        <f>AJ15+AJ16+AJ17</f>
        <v>0</v>
      </c>
      <c r="AK18" s="29"/>
      <c r="AL18" s="181"/>
      <c r="AM18" s="29"/>
      <c r="AN18" s="29">
        <f>AN15+AN16+AN17</f>
        <v>0</v>
      </c>
      <c r="AO18" s="29"/>
      <c r="AP18" s="29"/>
      <c r="AQ18" s="29"/>
    </row>
    <row r="19" spans="1:45" s="38" customFormat="1" ht="31.5" customHeight="1" x14ac:dyDescent="0.25">
      <c r="A19" s="30"/>
      <c r="B19" s="186"/>
      <c r="C19" s="258">
        <f>F19</f>
        <v>472.03200000000004</v>
      </c>
      <c r="D19" s="258">
        <v>99</v>
      </c>
      <c r="E19" s="258">
        <f>B20*1/100</f>
        <v>4.7679999999999998</v>
      </c>
      <c r="F19" s="258">
        <f>B20*99/100</f>
        <v>472.03200000000004</v>
      </c>
      <c r="G19" s="258">
        <f>F19/C101*100</f>
        <v>1.5325122178721018</v>
      </c>
      <c r="H19" s="258">
        <f>E19</f>
        <v>4.7679999999999998</v>
      </c>
      <c r="I19" s="258">
        <v>0</v>
      </c>
      <c r="J19" s="258">
        <v>0</v>
      </c>
      <c r="K19" s="258">
        <v>0</v>
      </c>
      <c r="L19" s="298" t="s">
        <v>228</v>
      </c>
      <c r="M19" s="30"/>
      <c r="N19" s="30"/>
      <c r="O19" s="30"/>
      <c r="P19" s="41">
        <f t="shared" ref="P19:P21" si="7">SUM(P11)</f>
        <v>0</v>
      </c>
      <c r="Q19" s="46"/>
      <c r="R19" s="32"/>
      <c r="S19" s="32"/>
      <c r="T19" s="42"/>
      <c r="U19" s="32"/>
      <c r="V19" s="32"/>
      <c r="W19" s="47"/>
      <c r="X19" s="48"/>
      <c r="Y19" s="110"/>
      <c r="Z19" s="110" t="s">
        <v>73</v>
      </c>
      <c r="AA19" s="36">
        <v>335.5</v>
      </c>
      <c r="AB19" s="27">
        <f>AA19*1</f>
        <v>335.5</v>
      </c>
      <c r="AC19" s="35"/>
      <c r="AD19" s="36"/>
      <c r="AE19" s="36"/>
      <c r="AF19" s="27"/>
      <c r="AG19" s="35"/>
      <c r="AH19" s="35"/>
      <c r="AI19" s="35"/>
      <c r="AJ19" s="29"/>
      <c r="AK19" s="35"/>
      <c r="AL19" s="35"/>
      <c r="AM19" s="35"/>
      <c r="AN19" s="29"/>
      <c r="AO19" s="35"/>
      <c r="AP19" s="35"/>
      <c r="AQ19" s="35"/>
      <c r="AR19" s="38">
        <f t="shared" si="0"/>
        <v>335.5</v>
      </c>
      <c r="AS19" s="38">
        <f>AR19+AR20</f>
        <v>476.8</v>
      </c>
    </row>
    <row r="20" spans="1:45" s="38" customFormat="1" ht="60.75" customHeight="1" x14ac:dyDescent="0.25">
      <c r="A20" s="30"/>
      <c r="B20" s="186">
        <v>476.8</v>
      </c>
      <c r="C20" s="259"/>
      <c r="D20" s="259"/>
      <c r="E20" s="259"/>
      <c r="F20" s="259"/>
      <c r="G20" s="259"/>
      <c r="H20" s="259"/>
      <c r="I20" s="259"/>
      <c r="J20" s="259"/>
      <c r="K20" s="259"/>
      <c r="L20" s="299"/>
      <c r="M20" s="30"/>
      <c r="N20" s="30"/>
      <c r="O20" s="30"/>
      <c r="P20" s="41">
        <f t="shared" si="7"/>
        <v>0</v>
      </c>
      <c r="Q20" s="46"/>
      <c r="R20" s="32"/>
      <c r="S20" s="32"/>
      <c r="T20" s="42"/>
      <c r="U20" s="32"/>
      <c r="V20" s="30"/>
      <c r="W20" s="34"/>
      <c r="X20" s="45"/>
      <c r="Y20" s="110" t="s">
        <v>208</v>
      </c>
      <c r="Z20" s="110" t="s">
        <v>72</v>
      </c>
      <c r="AA20" s="36">
        <v>141.30000000000001</v>
      </c>
      <c r="AB20" s="27">
        <f>AA20*1</f>
        <v>141.30000000000001</v>
      </c>
      <c r="AC20" s="35"/>
      <c r="AD20" s="36"/>
      <c r="AE20" s="36"/>
      <c r="AF20" s="27"/>
      <c r="AG20" s="35"/>
      <c r="AH20" s="35"/>
      <c r="AI20" s="35"/>
      <c r="AJ20" s="29"/>
      <c r="AK20" s="35"/>
      <c r="AL20" s="35"/>
      <c r="AM20" s="35"/>
      <c r="AN20" s="29"/>
      <c r="AO20" s="35"/>
      <c r="AP20" s="35"/>
      <c r="AQ20" s="35"/>
      <c r="AR20" s="38">
        <f t="shared" si="0"/>
        <v>141.30000000000001</v>
      </c>
    </row>
    <row r="21" spans="1:45" s="28" customFormat="1" ht="36.75" hidden="1" customHeight="1" x14ac:dyDescent="0.25">
      <c r="A21" s="44"/>
      <c r="B21" s="222">
        <f>P21+T21+X21+AB21+AF21+AJ21+AN21</f>
        <v>476.8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2"/>
      <c r="M21" s="44"/>
      <c r="N21" s="44"/>
      <c r="O21" s="44"/>
      <c r="P21" s="41">
        <f t="shared" si="7"/>
        <v>0</v>
      </c>
      <c r="Q21" s="179"/>
      <c r="R21" s="33"/>
      <c r="S21" s="33"/>
      <c r="T21" s="42">
        <f>T19+T20</f>
        <v>0</v>
      </c>
      <c r="U21" s="33"/>
      <c r="V21" s="44"/>
      <c r="W21" s="25"/>
      <c r="X21" s="67">
        <f>X19+X20</f>
        <v>0</v>
      </c>
      <c r="Y21" s="180"/>
      <c r="Z21" s="180"/>
      <c r="AA21" s="27"/>
      <c r="AB21" s="27">
        <f>SUM(AB19:AB20)</f>
        <v>476.8</v>
      </c>
      <c r="AC21" s="29"/>
      <c r="AD21" s="27"/>
      <c r="AE21" s="27"/>
      <c r="AF21" s="27">
        <f>AF19+AF20</f>
        <v>0</v>
      </c>
      <c r="AG21" s="29"/>
      <c r="AH21" s="29"/>
      <c r="AI21" s="29"/>
      <c r="AJ21" s="29">
        <f>AJ19+AJ20</f>
        <v>0</v>
      </c>
      <c r="AK21" s="29"/>
      <c r="AL21" s="29"/>
      <c r="AM21" s="29"/>
      <c r="AN21" s="29">
        <f>AN19+AN20</f>
        <v>0</v>
      </c>
      <c r="AO21" s="29"/>
      <c r="AP21" s="29"/>
      <c r="AQ21" s="29"/>
    </row>
    <row r="22" spans="1:45" s="123" customFormat="1" ht="60.75" customHeight="1" x14ac:dyDescent="0.25">
      <c r="A22" s="114"/>
      <c r="B22" s="186"/>
      <c r="C22" s="255">
        <f>F22</f>
        <v>223.34399999999997</v>
      </c>
      <c r="D22" s="255">
        <v>99</v>
      </c>
      <c r="E22" s="255">
        <f>B38*1/100</f>
        <v>2.2559999999999998</v>
      </c>
      <c r="F22" s="255">
        <f>B38*99/100</f>
        <v>223.34399999999997</v>
      </c>
      <c r="G22" s="255">
        <f>F22/C101*100</f>
        <v>0.72511484134216886</v>
      </c>
      <c r="H22" s="255">
        <f>E22</f>
        <v>2.2559999999999998</v>
      </c>
      <c r="I22" s="255">
        <v>0</v>
      </c>
      <c r="J22" s="255">
        <v>0</v>
      </c>
      <c r="K22" s="255">
        <v>0</v>
      </c>
      <c r="L22" s="278" t="s">
        <v>229</v>
      </c>
      <c r="M22" s="114"/>
      <c r="N22" s="114"/>
      <c r="O22" s="114"/>
      <c r="P22" s="41">
        <f t="shared" ref="P22:P28" si="8">SUM(P11)</f>
        <v>0</v>
      </c>
      <c r="Q22" s="124"/>
      <c r="R22" s="116" t="s">
        <v>84</v>
      </c>
      <c r="S22" s="116">
        <v>0.3</v>
      </c>
      <c r="T22" s="33">
        <f t="shared" ref="T22:T28" si="9">S22*1</f>
        <v>0.3</v>
      </c>
      <c r="U22" s="116"/>
      <c r="V22" s="116" t="s">
        <v>53</v>
      </c>
      <c r="W22" s="118">
        <v>10.7</v>
      </c>
      <c r="X22" s="25">
        <f>W22*1</f>
        <v>10.7</v>
      </c>
      <c r="Y22" s="121"/>
      <c r="Z22" s="119"/>
      <c r="AA22" s="120"/>
      <c r="AB22" s="27"/>
      <c r="AC22" s="121"/>
      <c r="AD22" s="120"/>
      <c r="AE22" s="120"/>
      <c r="AF22" s="27"/>
      <c r="AG22" s="121"/>
      <c r="AH22" s="121"/>
      <c r="AI22" s="121"/>
      <c r="AJ22" s="29">
        <f t="shared" ref="AJ22:AJ39" si="10">SUM(AJ21)</f>
        <v>0</v>
      </c>
      <c r="AK22" s="121"/>
      <c r="AL22" s="121"/>
      <c r="AM22" s="121"/>
      <c r="AN22" s="29">
        <f t="shared" ref="AN22:AN39" si="11">SUM(AN21)</f>
        <v>0</v>
      </c>
      <c r="AO22" s="121"/>
      <c r="AP22" s="121"/>
      <c r="AQ22" s="121"/>
      <c r="AR22" s="123">
        <f t="shared" si="0"/>
        <v>11</v>
      </c>
      <c r="AS22" s="123">
        <f>AR22+AR23+AR24+AR25+AR26+AR27+AR28+AR29+AR30+AR31+AR32+AR33+AR34+AR35+AR36+AR37+AR38</f>
        <v>205.60000000000005</v>
      </c>
    </row>
    <row r="23" spans="1:45" s="123" customFormat="1" ht="60.75" customHeight="1" x14ac:dyDescent="0.25">
      <c r="A23" s="114"/>
      <c r="B23" s="186"/>
      <c r="C23" s="256"/>
      <c r="D23" s="256"/>
      <c r="E23" s="256"/>
      <c r="F23" s="256"/>
      <c r="G23" s="256"/>
      <c r="H23" s="256"/>
      <c r="I23" s="256"/>
      <c r="J23" s="256"/>
      <c r="K23" s="256"/>
      <c r="L23" s="279"/>
      <c r="M23" s="114"/>
      <c r="N23" s="114"/>
      <c r="O23" s="114"/>
      <c r="P23" s="41">
        <f t="shared" si="8"/>
        <v>0</v>
      </c>
      <c r="Q23" s="124"/>
      <c r="R23" s="116" t="s">
        <v>85</v>
      </c>
      <c r="S23" s="116">
        <v>0.3</v>
      </c>
      <c r="T23" s="33">
        <f t="shared" si="9"/>
        <v>0.3</v>
      </c>
      <c r="U23" s="116"/>
      <c r="V23" s="114"/>
      <c r="W23" s="118"/>
      <c r="X23" s="25"/>
      <c r="Y23" s="121"/>
      <c r="Z23" s="119"/>
      <c r="AA23" s="120"/>
      <c r="AB23" s="27"/>
      <c r="AC23" s="121"/>
      <c r="AD23" s="120"/>
      <c r="AE23" s="120"/>
      <c r="AF23" s="27"/>
      <c r="AG23" s="121"/>
      <c r="AH23" s="121"/>
      <c r="AI23" s="121"/>
      <c r="AJ23" s="29">
        <f t="shared" si="10"/>
        <v>0</v>
      </c>
      <c r="AK23" s="121"/>
      <c r="AL23" s="121"/>
      <c r="AM23" s="121"/>
      <c r="AN23" s="29">
        <f t="shared" si="11"/>
        <v>0</v>
      </c>
      <c r="AO23" s="121"/>
      <c r="AP23" s="121"/>
      <c r="AQ23" s="121"/>
      <c r="AR23" s="123">
        <f t="shared" si="0"/>
        <v>0.3</v>
      </c>
    </row>
    <row r="24" spans="1:45" s="123" customFormat="1" ht="60.75" customHeight="1" x14ac:dyDescent="0.25">
      <c r="A24" s="114"/>
      <c r="B24" s="186"/>
      <c r="C24" s="256"/>
      <c r="D24" s="256"/>
      <c r="E24" s="256"/>
      <c r="F24" s="256"/>
      <c r="G24" s="256"/>
      <c r="H24" s="256"/>
      <c r="I24" s="256"/>
      <c r="J24" s="256"/>
      <c r="K24" s="256"/>
      <c r="L24" s="279"/>
      <c r="M24" s="114"/>
      <c r="N24" s="114"/>
      <c r="O24" s="114"/>
      <c r="P24" s="41">
        <f t="shared" si="8"/>
        <v>0</v>
      </c>
      <c r="Q24" s="124"/>
      <c r="R24" s="116" t="s">
        <v>86</v>
      </c>
      <c r="S24" s="116">
        <v>1.1000000000000001</v>
      </c>
      <c r="T24" s="33">
        <f t="shared" si="9"/>
        <v>1.1000000000000001</v>
      </c>
      <c r="U24" s="116"/>
      <c r="V24" s="114"/>
      <c r="W24" s="118"/>
      <c r="X24" s="25"/>
      <c r="Y24" s="121"/>
      <c r="Z24" s="119"/>
      <c r="AA24" s="120"/>
      <c r="AB24" s="27"/>
      <c r="AC24" s="121"/>
      <c r="AD24" s="120"/>
      <c r="AE24" s="120"/>
      <c r="AF24" s="27"/>
      <c r="AG24" s="121"/>
      <c r="AH24" s="121"/>
      <c r="AI24" s="121"/>
      <c r="AJ24" s="29">
        <f t="shared" si="10"/>
        <v>0</v>
      </c>
      <c r="AK24" s="121"/>
      <c r="AL24" s="121"/>
      <c r="AM24" s="121"/>
      <c r="AN24" s="29">
        <f t="shared" si="11"/>
        <v>0</v>
      </c>
      <c r="AO24" s="121"/>
      <c r="AP24" s="121"/>
      <c r="AQ24" s="121"/>
      <c r="AR24" s="123">
        <f t="shared" si="0"/>
        <v>1.1000000000000001</v>
      </c>
    </row>
    <row r="25" spans="1:45" s="123" customFormat="1" ht="60.75" customHeight="1" x14ac:dyDescent="0.25">
      <c r="A25" s="114"/>
      <c r="B25" s="186"/>
      <c r="C25" s="256"/>
      <c r="D25" s="256"/>
      <c r="E25" s="256"/>
      <c r="F25" s="256"/>
      <c r="G25" s="256"/>
      <c r="H25" s="256"/>
      <c r="I25" s="256"/>
      <c r="J25" s="256"/>
      <c r="K25" s="256"/>
      <c r="L25" s="279"/>
      <c r="M25" s="114"/>
      <c r="N25" s="114"/>
      <c r="O25" s="114"/>
      <c r="P25" s="41">
        <f t="shared" si="8"/>
        <v>0</v>
      </c>
      <c r="Q25" s="124"/>
      <c r="R25" s="116" t="s">
        <v>87</v>
      </c>
      <c r="S25" s="116">
        <v>26</v>
      </c>
      <c r="T25" s="33">
        <f t="shared" si="9"/>
        <v>26</v>
      </c>
      <c r="U25" s="116"/>
      <c r="V25" s="114"/>
      <c r="W25" s="118"/>
      <c r="X25" s="25"/>
      <c r="Y25" s="121"/>
      <c r="Z25" s="118"/>
      <c r="AA25" s="120"/>
      <c r="AB25" s="27"/>
      <c r="AC25" s="121"/>
      <c r="AD25" s="120"/>
      <c r="AE25" s="120"/>
      <c r="AF25" s="27"/>
      <c r="AG25" s="121"/>
      <c r="AH25" s="121"/>
      <c r="AI25" s="121"/>
      <c r="AJ25" s="29">
        <f t="shared" si="10"/>
        <v>0</v>
      </c>
      <c r="AK25" s="121"/>
      <c r="AL25" s="121"/>
      <c r="AM25" s="121"/>
      <c r="AN25" s="29">
        <f t="shared" si="11"/>
        <v>0</v>
      </c>
      <c r="AO25" s="121"/>
      <c r="AP25" s="121"/>
      <c r="AQ25" s="121"/>
      <c r="AR25" s="123">
        <f t="shared" si="0"/>
        <v>26</v>
      </c>
    </row>
    <row r="26" spans="1:45" s="123" customFormat="1" ht="60.75" customHeight="1" x14ac:dyDescent="0.25">
      <c r="A26" s="114"/>
      <c r="B26" s="186"/>
      <c r="C26" s="256"/>
      <c r="D26" s="256"/>
      <c r="E26" s="256"/>
      <c r="F26" s="256"/>
      <c r="G26" s="256"/>
      <c r="H26" s="256"/>
      <c r="I26" s="256"/>
      <c r="J26" s="256"/>
      <c r="K26" s="256"/>
      <c r="L26" s="279"/>
      <c r="M26" s="114"/>
      <c r="N26" s="114"/>
      <c r="O26" s="114"/>
      <c r="P26" s="44">
        <f t="shared" si="8"/>
        <v>0</v>
      </c>
      <c r="Q26" s="121"/>
      <c r="R26" s="116" t="s">
        <v>88</v>
      </c>
      <c r="S26" s="116">
        <v>1</v>
      </c>
      <c r="T26" s="33">
        <f t="shared" si="9"/>
        <v>1</v>
      </c>
      <c r="U26" s="116"/>
      <c r="V26" s="114"/>
      <c r="W26" s="118"/>
      <c r="X26" s="25"/>
      <c r="Y26" s="121"/>
      <c r="Z26" s="118"/>
      <c r="AA26" s="120"/>
      <c r="AB26" s="27"/>
      <c r="AC26" s="121"/>
      <c r="AD26" s="120"/>
      <c r="AE26" s="120"/>
      <c r="AF26" s="27"/>
      <c r="AG26" s="121"/>
      <c r="AH26" s="121"/>
      <c r="AI26" s="121"/>
      <c r="AJ26" s="29">
        <f t="shared" si="10"/>
        <v>0</v>
      </c>
      <c r="AK26" s="121"/>
      <c r="AL26" s="121"/>
      <c r="AM26" s="121"/>
      <c r="AN26" s="29">
        <f t="shared" si="11"/>
        <v>0</v>
      </c>
      <c r="AO26" s="121"/>
      <c r="AP26" s="121"/>
      <c r="AQ26" s="121"/>
      <c r="AR26" s="123">
        <f t="shared" si="0"/>
        <v>1</v>
      </c>
    </row>
    <row r="27" spans="1:45" s="123" customFormat="1" ht="60.75" customHeight="1" x14ac:dyDescent="0.25">
      <c r="A27" s="114"/>
      <c r="B27" s="186"/>
      <c r="C27" s="256"/>
      <c r="D27" s="256"/>
      <c r="E27" s="256"/>
      <c r="F27" s="256"/>
      <c r="G27" s="256"/>
      <c r="H27" s="256"/>
      <c r="I27" s="256"/>
      <c r="J27" s="256"/>
      <c r="K27" s="256"/>
      <c r="L27" s="279"/>
      <c r="M27" s="114"/>
      <c r="N27" s="114"/>
      <c r="O27" s="114"/>
      <c r="P27" s="44">
        <f t="shared" si="8"/>
        <v>0</v>
      </c>
      <c r="Q27" s="121"/>
      <c r="R27" s="116" t="s">
        <v>89</v>
      </c>
      <c r="S27" s="116">
        <v>1.6</v>
      </c>
      <c r="T27" s="33">
        <f t="shared" si="9"/>
        <v>1.6</v>
      </c>
      <c r="U27" s="116"/>
      <c r="V27" s="114"/>
      <c r="W27" s="118"/>
      <c r="X27" s="25"/>
      <c r="Y27" s="121"/>
      <c r="Z27" s="118"/>
      <c r="AA27" s="120"/>
      <c r="AB27" s="27"/>
      <c r="AC27" s="121"/>
      <c r="AD27" s="120"/>
      <c r="AE27" s="120"/>
      <c r="AF27" s="27"/>
      <c r="AG27" s="121"/>
      <c r="AH27" s="121"/>
      <c r="AI27" s="121"/>
      <c r="AJ27" s="29">
        <f t="shared" si="10"/>
        <v>0</v>
      </c>
      <c r="AK27" s="121"/>
      <c r="AL27" s="121"/>
      <c r="AM27" s="121"/>
      <c r="AN27" s="29">
        <f t="shared" si="11"/>
        <v>0</v>
      </c>
      <c r="AO27" s="121"/>
      <c r="AP27" s="121"/>
      <c r="AQ27" s="121"/>
      <c r="AR27" s="123">
        <f t="shared" si="0"/>
        <v>1.6</v>
      </c>
    </row>
    <row r="28" spans="1:45" s="123" customFormat="1" ht="60.75" customHeight="1" x14ac:dyDescent="0.25">
      <c r="A28" s="114"/>
      <c r="B28" s="186"/>
      <c r="C28" s="256"/>
      <c r="D28" s="256"/>
      <c r="E28" s="256"/>
      <c r="F28" s="256"/>
      <c r="G28" s="256"/>
      <c r="H28" s="256"/>
      <c r="I28" s="256"/>
      <c r="J28" s="256"/>
      <c r="K28" s="256"/>
      <c r="L28" s="279"/>
      <c r="M28" s="114"/>
      <c r="N28" s="114"/>
      <c r="O28" s="114"/>
      <c r="P28" s="44">
        <f t="shared" si="8"/>
        <v>0</v>
      </c>
      <c r="Q28" s="121"/>
      <c r="R28" s="116" t="s">
        <v>90</v>
      </c>
      <c r="S28" s="116">
        <v>1.8</v>
      </c>
      <c r="T28" s="33">
        <f t="shared" si="9"/>
        <v>1.8</v>
      </c>
      <c r="U28" s="116"/>
      <c r="V28" s="114"/>
      <c r="W28" s="118"/>
      <c r="X28" s="25"/>
      <c r="Y28" s="121"/>
      <c r="Z28" s="118"/>
      <c r="AA28" s="128"/>
      <c r="AB28" s="26"/>
      <c r="AC28" s="134"/>
      <c r="AD28" s="120"/>
      <c r="AE28" s="128"/>
      <c r="AF28" s="26"/>
      <c r="AG28" s="134"/>
      <c r="AH28" s="134"/>
      <c r="AI28" s="134"/>
      <c r="AJ28" s="49">
        <f t="shared" si="10"/>
        <v>0</v>
      </c>
      <c r="AK28" s="134"/>
      <c r="AL28" s="121"/>
      <c r="AM28" s="134"/>
      <c r="AN28" s="49">
        <f t="shared" si="11"/>
        <v>0</v>
      </c>
      <c r="AO28" s="134"/>
      <c r="AP28" s="134"/>
      <c r="AQ28" s="121"/>
      <c r="AR28" s="123">
        <f t="shared" si="0"/>
        <v>1.8</v>
      </c>
    </row>
    <row r="29" spans="1:45" s="123" customFormat="1" ht="60.75" customHeight="1" x14ac:dyDescent="0.25">
      <c r="A29" s="114"/>
      <c r="B29" s="186"/>
      <c r="C29" s="256"/>
      <c r="D29" s="256"/>
      <c r="E29" s="256"/>
      <c r="F29" s="256"/>
      <c r="G29" s="256"/>
      <c r="H29" s="256"/>
      <c r="I29" s="256"/>
      <c r="J29" s="256"/>
      <c r="K29" s="256"/>
      <c r="L29" s="279"/>
      <c r="M29" s="114"/>
      <c r="N29" s="114"/>
      <c r="O29" s="114"/>
      <c r="P29" s="44">
        <f>SUM(P19)</f>
        <v>0</v>
      </c>
      <c r="Q29" s="121"/>
      <c r="R29" s="116" t="s">
        <v>91</v>
      </c>
      <c r="S29" s="116">
        <v>47.1</v>
      </c>
      <c r="T29" s="33">
        <f>S29*3</f>
        <v>141.30000000000001</v>
      </c>
      <c r="U29" s="116"/>
      <c r="V29" s="114"/>
      <c r="W29" s="118"/>
      <c r="X29" s="25"/>
      <c r="Y29" s="121"/>
      <c r="Z29" s="118"/>
      <c r="AA29" s="120"/>
      <c r="AB29" s="27"/>
      <c r="AC29" s="121"/>
      <c r="AD29" s="120"/>
      <c r="AE29" s="120"/>
      <c r="AF29" s="27"/>
      <c r="AG29" s="121"/>
      <c r="AH29" s="121"/>
      <c r="AI29" s="121"/>
      <c r="AJ29" s="29">
        <f t="shared" si="10"/>
        <v>0</v>
      </c>
      <c r="AK29" s="121"/>
      <c r="AL29" s="121"/>
      <c r="AM29" s="121"/>
      <c r="AN29" s="29">
        <f t="shared" si="11"/>
        <v>0</v>
      </c>
      <c r="AO29" s="121"/>
      <c r="AP29" s="121"/>
      <c r="AQ29" s="135"/>
      <c r="AR29" s="123">
        <f t="shared" si="0"/>
        <v>141.30000000000001</v>
      </c>
    </row>
    <row r="30" spans="1:45" s="123" customFormat="1" ht="60.75" customHeight="1" x14ac:dyDescent="0.25">
      <c r="A30" s="114"/>
      <c r="B30" s="186"/>
      <c r="C30" s="256"/>
      <c r="D30" s="256"/>
      <c r="E30" s="256"/>
      <c r="F30" s="256"/>
      <c r="G30" s="256"/>
      <c r="H30" s="256"/>
      <c r="I30" s="256"/>
      <c r="J30" s="256"/>
      <c r="K30" s="256"/>
      <c r="L30" s="279"/>
      <c r="M30" s="114"/>
      <c r="N30" s="114"/>
      <c r="O30" s="114"/>
      <c r="P30" s="44">
        <f>SUM(P20)</f>
        <v>0</v>
      </c>
      <c r="Q30" s="121"/>
      <c r="R30" s="116" t="s">
        <v>92</v>
      </c>
      <c r="S30" s="116">
        <v>1.5</v>
      </c>
      <c r="T30" s="33">
        <f t="shared" ref="T30:T38" si="12">S30*1</f>
        <v>1.5</v>
      </c>
      <c r="U30" s="116"/>
      <c r="V30" s="114"/>
      <c r="W30" s="118"/>
      <c r="X30" s="25"/>
      <c r="Y30" s="121"/>
      <c r="Z30" s="118"/>
      <c r="AA30" s="120"/>
      <c r="AB30" s="27"/>
      <c r="AC30" s="121"/>
      <c r="AD30" s="120"/>
      <c r="AE30" s="120"/>
      <c r="AF30" s="27"/>
      <c r="AG30" s="121"/>
      <c r="AH30" s="121"/>
      <c r="AI30" s="121"/>
      <c r="AJ30" s="29">
        <f t="shared" si="10"/>
        <v>0</v>
      </c>
      <c r="AK30" s="121"/>
      <c r="AL30" s="121"/>
      <c r="AM30" s="121"/>
      <c r="AN30" s="29">
        <f t="shared" si="11"/>
        <v>0</v>
      </c>
      <c r="AO30" s="121"/>
      <c r="AP30" s="121"/>
      <c r="AQ30" s="135"/>
      <c r="AR30" s="123">
        <f t="shared" si="0"/>
        <v>1.5</v>
      </c>
    </row>
    <row r="31" spans="1:45" s="123" customFormat="1" ht="60.75" customHeight="1" x14ac:dyDescent="0.25">
      <c r="A31" s="114"/>
      <c r="B31" s="186"/>
      <c r="C31" s="256"/>
      <c r="D31" s="256"/>
      <c r="E31" s="256"/>
      <c r="F31" s="256"/>
      <c r="G31" s="256"/>
      <c r="H31" s="256"/>
      <c r="I31" s="256"/>
      <c r="J31" s="256"/>
      <c r="K31" s="256"/>
      <c r="L31" s="279"/>
      <c r="M31" s="114"/>
      <c r="N31" s="114"/>
      <c r="O31" s="114"/>
      <c r="P31" s="44">
        <f t="shared" ref="P31:P39" si="13">SUM(P22)</f>
        <v>0</v>
      </c>
      <c r="Q31" s="121"/>
      <c r="R31" s="116" t="s">
        <v>93</v>
      </c>
      <c r="S31" s="116">
        <v>1.5</v>
      </c>
      <c r="T31" s="33">
        <f t="shared" si="12"/>
        <v>1.5</v>
      </c>
      <c r="U31" s="121"/>
      <c r="V31" s="118"/>
      <c r="W31" s="118"/>
      <c r="X31" s="25"/>
      <c r="Y31" s="121"/>
      <c r="Z31" s="118"/>
      <c r="AA31" s="120"/>
      <c r="AB31" s="27"/>
      <c r="AC31" s="121"/>
      <c r="AD31" s="120"/>
      <c r="AE31" s="120"/>
      <c r="AF31" s="27"/>
      <c r="AG31" s="121"/>
      <c r="AH31" s="121"/>
      <c r="AI31" s="121"/>
      <c r="AJ31" s="29">
        <f t="shared" si="10"/>
        <v>0</v>
      </c>
      <c r="AK31" s="121"/>
      <c r="AL31" s="121"/>
      <c r="AM31" s="121"/>
      <c r="AN31" s="29">
        <f t="shared" si="11"/>
        <v>0</v>
      </c>
      <c r="AO31" s="121"/>
      <c r="AP31" s="121"/>
      <c r="AQ31" s="135"/>
      <c r="AR31" s="123">
        <f t="shared" si="0"/>
        <v>1.5</v>
      </c>
    </row>
    <row r="32" spans="1:45" s="123" customFormat="1" ht="60.75" customHeight="1" x14ac:dyDescent="0.25">
      <c r="A32" s="114"/>
      <c r="B32" s="186"/>
      <c r="C32" s="256"/>
      <c r="D32" s="256"/>
      <c r="E32" s="256"/>
      <c r="F32" s="256"/>
      <c r="G32" s="256"/>
      <c r="H32" s="256"/>
      <c r="I32" s="256"/>
      <c r="J32" s="256"/>
      <c r="K32" s="256"/>
      <c r="L32" s="279"/>
      <c r="M32" s="114"/>
      <c r="N32" s="114"/>
      <c r="O32" s="114"/>
      <c r="P32" s="44">
        <f t="shared" si="13"/>
        <v>0</v>
      </c>
      <c r="Q32" s="121"/>
      <c r="R32" s="116" t="s">
        <v>94</v>
      </c>
      <c r="S32" s="116">
        <v>1.8</v>
      </c>
      <c r="T32" s="33">
        <f t="shared" si="12"/>
        <v>1.8</v>
      </c>
      <c r="U32" s="121"/>
      <c r="V32" s="118"/>
      <c r="W32" s="118"/>
      <c r="X32" s="25"/>
      <c r="Y32" s="121"/>
      <c r="Z32" s="118"/>
      <c r="AA32" s="120"/>
      <c r="AB32" s="27"/>
      <c r="AC32" s="121"/>
      <c r="AD32" s="120"/>
      <c r="AE32" s="120"/>
      <c r="AF32" s="27"/>
      <c r="AG32" s="121"/>
      <c r="AH32" s="121"/>
      <c r="AI32" s="121"/>
      <c r="AJ32" s="29">
        <f t="shared" si="10"/>
        <v>0</v>
      </c>
      <c r="AK32" s="121"/>
      <c r="AL32" s="121"/>
      <c r="AM32" s="121"/>
      <c r="AN32" s="29">
        <f t="shared" si="11"/>
        <v>0</v>
      </c>
      <c r="AO32" s="121"/>
      <c r="AP32" s="121"/>
      <c r="AQ32" s="135"/>
      <c r="AR32" s="123">
        <f t="shared" si="0"/>
        <v>1.8</v>
      </c>
    </row>
    <row r="33" spans="1:44" s="123" customFormat="1" ht="60.75" customHeight="1" x14ac:dyDescent="0.25">
      <c r="A33" s="114"/>
      <c r="B33" s="186"/>
      <c r="C33" s="256"/>
      <c r="D33" s="256"/>
      <c r="E33" s="256"/>
      <c r="F33" s="256"/>
      <c r="G33" s="256"/>
      <c r="H33" s="256"/>
      <c r="I33" s="256"/>
      <c r="J33" s="256"/>
      <c r="K33" s="256"/>
      <c r="L33" s="279"/>
      <c r="M33" s="114"/>
      <c r="N33" s="114"/>
      <c r="O33" s="114"/>
      <c r="P33" s="44">
        <f t="shared" si="13"/>
        <v>0</v>
      </c>
      <c r="Q33" s="121"/>
      <c r="R33" s="116" t="s">
        <v>95</v>
      </c>
      <c r="S33" s="116">
        <v>0.5</v>
      </c>
      <c r="T33" s="33">
        <f t="shared" si="12"/>
        <v>0.5</v>
      </c>
      <c r="U33" s="121"/>
      <c r="V33" s="121"/>
      <c r="W33" s="121"/>
      <c r="X33" s="29"/>
      <c r="Y33" s="121"/>
      <c r="Z33" s="114"/>
      <c r="AA33" s="114"/>
      <c r="AB33" s="44"/>
      <c r="AC33" s="114"/>
      <c r="AD33" s="120"/>
      <c r="AE33" s="114"/>
      <c r="AF33" s="44"/>
      <c r="AG33" s="121"/>
      <c r="AH33" s="121"/>
      <c r="AI33" s="121"/>
      <c r="AJ33" s="29">
        <f t="shared" si="10"/>
        <v>0</v>
      </c>
      <c r="AK33" s="121"/>
      <c r="AL33" s="121"/>
      <c r="AM33" s="121"/>
      <c r="AN33" s="29">
        <f t="shared" si="11"/>
        <v>0</v>
      </c>
      <c r="AO33" s="121"/>
      <c r="AP33" s="121"/>
      <c r="AQ33" s="135"/>
      <c r="AR33" s="123">
        <f t="shared" si="0"/>
        <v>0.5</v>
      </c>
    </row>
    <row r="34" spans="1:44" s="123" customFormat="1" ht="60.75" customHeight="1" x14ac:dyDescent="0.25">
      <c r="A34" s="114"/>
      <c r="B34" s="186"/>
      <c r="C34" s="256"/>
      <c r="D34" s="256"/>
      <c r="E34" s="256"/>
      <c r="F34" s="256"/>
      <c r="G34" s="256"/>
      <c r="H34" s="256"/>
      <c r="I34" s="256"/>
      <c r="J34" s="256"/>
      <c r="K34" s="256"/>
      <c r="L34" s="279"/>
      <c r="M34" s="114"/>
      <c r="N34" s="114"/>
      <c r="O34" s="114"/>
      <c r="P34" s="44">
        <f t="shared" si="13"/>
        <v>0</v>
      </c>
      <c r="Q34" s="121"/>
      <c r="R34" s="116" t="s">
        <v>96</v>
      </c>
      <c r="S34" s="116">
        <v>7.8</v>
      </c>
      <c r="T34" s="33">
        <f t="shared" si="12"/>
        <v>7.8</v>
      </c>
      <c r="U34" s="121"/>
      <c r="V34" s="121"/>
      <c r="W34" s="121"/>
      <c r="X34" s="29"/>
      <c r="Y34" s="121"/>
      <c r="Z34" s="114"/>
      <c r="AA34" s="114"/>
      <c r="AB34" s="44"/>
      <c r="AC34" s="114"/>
      <c r="AD34" s="120"/>
      <c r="AE34" s="114"/>
      <c r="AF34" s="44"/>
      <c r="AG34" s="121"/>
      <c r="AH34" s="121"/>
      <c r="AI34" s="121"/>
      <c r="AJ34" s="29">
        <f t="shared" si="10"/>
        <v>0</v>
      </c>
      <c r="AK34" s="121"/>
      <c r="AL34" s="121"/>
      <c r="AM34" s="121"/>
      <c r="AN34" s="29">
        <f t="shared" si="11"/>
        <v>0</v>
      </c>
      <c r="AO34" s="121"/>
      <c r="AP34" s="121"/>
      <c r="AQ34" s="136"/>
      <c r="AR34" s="123">
        <f t="shared" si="0"/>
        <v>7.8</v>
      </c>
    </row>
    <row r="35" spans="1:44" s="123" customFormat="1" ht="42.75" customHeight="1" x14ac:dyDescent="0.25">
      <c r="A35" s="114"/>
      <c r="B35" s="186"/>
      <c r="C35" s="256"/>
      <c r="D35" s="256"/>
      <c r="E35" s="256"/>
      <c r="F35" s="256"/>
      <c r="G35" s="256"/>
      <c r="H35" s="256"/>
      <c r="I35" s="256"/>
      <c r="J35" s="256"/>
      <c r="K35" s="256"/>
      <c r="L35" s="279"/>
      <c r="M35" s="114"/>
      <c r="N35" s="114"/>
      <c r="O35" s="114"/>
      <c r="P35" s="44">
        <f t="shared" si="13"/>
        <v>0</v>
      </c>
      <c r="Q35" s="121"/>
      <c r="R35" s="116" t="s">
        <v>97</v>
      </c>
      <c r="S35" s="116">
        <v>3.6</v>
      </c>
      <c r="T35" s="33">
        <f t="shared" si="12"/>
        <v>3.6</v>
      </c>
      <c r="U35" s="121"/>
      <c r="V35" s="121"/>
      <c r="W35" s="121"/>
      <c r="X35" s="29"/>
      <c r="Y35" s="121"/>
      <c r="Z35" s="114"/>
      <c r="AA35" s="114"/>
      <c r="AB35" s="44"/>
      <c r="AC35" s="114"/>
      <c r="AD35" s="120"/>
      <c r="AE35" s="114"/>
      <c r="AF35" s="44"/>
      <c r="AG35" s="121"/>
      <c r="AH35" s="121"/>
      <c r="AI35" s="121"/>
      <c r="AJ35" s="29">
        <f t="shared" si="10"/>
        <v>0</v>
      </c>
      <c r="AK35" s="121"/>
      <c r="AL35" s="121"/>
      <c r="AM35" s="121"/>
      <c r="AN35" s="29">
        <f t="shared" si="11"/>
        <v>0</v>
      </c>
      <c r="AO35" s="121"/>
      <c r="AP35" s="121"/>
      <c r="AQ35" s="136"/>
      <c r="AR35" s="123">
        <f t="shared" si="0"/>
        <v>3.6</v>
      </c>
    </row>
    <row r="36" spans="1:44" s="123" customFormat="1" ht="48" customHeight="1" x14ac:dyDescent="0.25">
      <c r="A36" s="114"/>
      <c r="B36" s="186"/>
      <c r="C36" s="256"/>
      <c r="D36" s="256"/>
      <c r="E36" s="256"/>
      <c r="F36" s="256"/>
      <c r="G36" s="256"/>
      <c r="H36" s="256"/>
      <c r="I36" s="256"/>
      <c r="J36" s="256"/>
      <c r="K36" s="256"/>
      <c r="L36" s="279"/>
      <c r="M36" s="137"/>
      <c r="N36" s="137"/>
      <c r="O36" s="137"/>
      <c r="P36" s="50">
        <f t="shared" si="13"/>
        <v>0</v>
      </c>
      <c r="Q36" s="137"/>
      <c r="R36" s="116" t="s">
        <v>98</v>
      </c>
      <c r="S36" s="116">
        <v>1.8</v>
      </c>
      <c r="T36" s="33">
        <f t="shared" si="12"/>
        <v>1.8</v>
      </c>
      <c r="U36" s="137"/>
      <c r="V36" s="137"/>
      <c r="W36" s="137"/>
      <c r="X36" s="50"/>
      <c r="Y36" s="137"/>
      <c r="Z36" s="137"/>
      <c r="AA36" s="137"/>
      <c r="AB36" s="50"/>
      <c r="AC36" s="137"/>
      <c r="AD36" s="114"/>
      <c r="AE36" s="137"/>
      <c r="AF36" s="50"/>
      <c r="AG36" s="137"/>
      <c r="AH36" s="137"/>
      <c r="AI36" s="137"/>
      <c r="AJ36" s="50">
        <f t="shared" si="10"/>
        <v>0</v>
      </c>
      <c r="AK36" s="137"/>
      <c r="AL36" s="121"/>
      <c r="AM36" s="137"/>
      <c r="AN36" s="50">
        <f t="shared" si="11"/>
        <v>0</v>
      </c>
      <c r="AO36" s="137"/>
      <c r="AP36" s="137"/>
      <c r="AQ36" s="138"/>
      <c r="AR36" s="123">
        <f t="shared" si="0"/>
        <v>1.8</v>
      </c>
    </row>
    <row r="37" spans="1:44" s="123" customFormat="1" ht="48.75" customHeight="1" x14ac:dyDescent="0.25">
      <c r="A37" s="114"/>
      <c r="B37" s="186"/>
      <c r="C37" s="256"/>
      <c r="D37" s="256"/>
      <c r="E37" s="256"/>
      <c r="F37" s="256"/>
      <c r="G37" s="256"/>
      <c r="H37" s="256"/>
      <c r="I37" s="256"/>
      <c r="J37" s="256"/>
      <c r="K37" s="256"/>
      <c r="L37" s="279"/>
      <c r="M37" s="137"/>
      <c r="N37" s="137"/>
      <c r="O37" s="137"/>
      <c r="P37" s="50">
        <f t="shared" si="13"/>
        <v>0</v>
      </c>
      <c r="Q37" s="137"/>
      <c r="R37" s="116" t="s">
        <v>99</v>
      </c>
      <c r="S37" s="116">
        <v>1.2</v>
      </c>
      <c r="T37" s="33">
        <f t="shared" si="12"/>
        <v>1.2</v>
      </c>
      <c r="U37" s="137"/>
      <c r="V37" s="137"/>
      <c r="W37" s="137"/>
      <c r="X37" s="50"/>
      <c r="Y37" s="137"/>
      <c r="Z37" s="137"/>
      <c r="AA37" s="137"/>
      <c r="AB37" s="50"/>
      <c r="AC37" s="137"/>
      <c r="AD37" s="137"/>
      <c r="AE37" s="137"/>
      <c r="AF37" s="50"/>
      <c r="AG37" s="137"/>
      <c r="AH37" s="137"/>
      <c r="AI37" s="137"/>
      <c r="AJ37" s="50">
        <f t="shared" si="10"/>
        <v>0</v>
      </c>
      <c r="AK37" s="137"/>
      <c r="AL37" s="137"/>
      <c r="AM37" s="137"/>
      <c r="AN37" s="50">
        <f t="shared" si="11"/>
        <v>0</v>
      </c>
      <c r="AO37" s="137"/>
      <c r="AP37" s="137"/>
      <c r="AQ37" s="138"/>
      <c r="AR37" s="123">
        <f t="shared" si="0"/>
        <v>1.2</v>
      </c>
    </row>
    <row r="38" spans="1:44" s="123" customFormat="1" ht="48.75" customHeight="1" x14ac:dyDescent="0.25">
      <c r="A38" s="139"/>
      <c r="B38" s="187">
        <v>225.6</v>
      </c>
      <c r="C38" s="257"/>
      <c r="D38" s="257"/>
      <c r="E38" s="257"/>
      <c r="F38" s="257"/>
      <c r="G38" s="257"/>
      <c r="H38" s="257"/>
      <c r="I38" s="257"/>
      <c r="J38" s="257"/>
      <c r="K38" s="257"/>
      <c r="L38" s="279"/>
      <c r="M38" s="140"/>
      <c r="N38" s="140"/>
      <c r="O38" s="140"/>
      <c r="P38" s="51">
        <f t="shared" si="13"/>
        <v>0</v>
      </c>
      <c r="Q38" s="140"/>
      <c r="R38" s="126" t="s">
        <v>100</v>
      </c>
      <c r="S38" s="140">
        <v>1.8</v>
      </c>
      <c r="T38" s="51">
        <f t="shared" si="12"/>
        <v>1.8</v>
      </c>
      <c r="U38" s="140"/>
      <c r="V38" s="140"/>
      <c r="W38" s="140"/>
      <c r="X38" s="51"/>
      <c r="Y38" s="140"/>
      <c r="Z38" s="140"/>
      <c r="AA38" s="140"/>
      <c r="AB38" s="51"/>
      <c r="AC38" s="140"/>
      <c r="AD38" s="140"/>
      <c r="AE38" s="140"/>
      <c r="AF38" s="51"/>
      <c r="AG38" s="140"/>
      <c r="AH38" s="140"/>
      <c r="AI38" s="140"/>
      <c r="AJ38" s="51">
        <f t="shared" si="10"/>
        <v>0</v>
      </c>
      <c r="AK38" s="140"/>
      <c r="AL38" s="140"/>
      <c r="AM38" s="140"/>
      <c r="AN38" s="51">
        <f t="shared" si="11"/>
        <v>0</v>
      </c>
      <c r="AO38" s="140"/>
      <c r="AP38" s="140"/>
      <c r="AQ38" s="138"/>
      <c r="AR38" s="123">
        <f t="shared" si="0"/>
        <v>1.8</v>
      </c>
    </row>
    <row r="39" spans="1:44" s="28" customFormat="1" ht="48.75" hidden="1" customHeight="1" x14ac:dyDescent="0.25">
      <c r="A39" s="31"/>
      <c r="B39" s="210">
        <f>P39+T39+X39+AB39+AF39+AJ39+AN39</f>
        <v>225.60000000000002</v>
      </c>
      <c r="C39" s="98"/>
      <c r="D39" s="98"/>
      <c r="E39" s="98"/>
      <c r="F39" s="98"/>
      <c r="G39" s="98"/>
      <c r="H39" s="98"/>
      <c r="I39" s="98"/>
      <c r="J39" s="98"/>
      <c r="K39" s="98"/>
      <c r="L39" s="182"/>
      <c r="M39" s="51"/>
      <c r="N39" s="51"/>
      <c r="O39" s="51"/>
      <c r="P39" s="165">
        <f t="shared" si="13"/>
        <v>0</v>
      </c>
      <c r="Q39" s="165"/>
      <c r="R39" s="165"/>
      <c r="S39" s="165"/>
      <c r="T39" s="184">
        <f>SUM(T15:T38)</f>
        <v>214.90000000000003</v>
      </c>
      <c r="U39" s="51"/>
      <c r="V39" s="51"/>
      <c r="W39" s="51"/>
      <c r="X39" s="51">
        <f>SUM(X22:X38)</f>
        <v>10.7</v>
      </c>
      <c r="Y39" s="51"/>
      <c r="Z39" s="51"/>
      <c r="AA39" s="51"/>
      <c r="AB39" s="51">
        <f>AB22+AB23+AB24+AB25+AB26+AB27+AB28+AB29+AB30+AB31+AB32+AB33+AB34+AB35+AB36+AB37+AB38</f>
        <v>0</v>
      </c>
      <c r="AC39" s="51"/>
      <c r="AD39" s="51"/>
      <c r="AE39" s="51"/>
      <c r="AF39" s="51">
        <f>AF22+AF23+AF24+AF25+AF26+AF27+AF28+AF29+AF30+AF31+AF32+AF33+AF34+AF35+AF36+AF37+AF38</f>
        <v>0</v>
      </c>
      <c r="AG39" s="51"/>
      <c r="AH39" s="51"/>
      <c r="AI39" s="51"/>
      <c r="AJ39" s="51">
        <f t="shared" si="10"/>
        <v>0</v>
      </c>
      <c r="AK39" s="51"/>
      <c r="AL39" s="51"/>
      <c r="AM39" s="51"/>
      <c r="AN39" s="51">
        <f t="shared" si="11"/>
        <v>0</v>
      </c>
      <c r="AO39" s="51"/>
      <c r="AP39" s="51"/>
      <c r="AQ39" s="183"/>
      <c r="AR39" s="28">
        <f t="shared" si="0"/>
        <v>225.60000000000002</v>
      </c>
    </row>
    <row r="40" spans="1:44" s="38" customFormat="1" ht="65.45" customHeight="1" x14ac:dyDescent="0.25">
      <c r="A40" s="72"/>
      <c r="B40" s="187"/>
      <c r="C40" s="268">
        <f>F40</f>
        <v>2333.7270000000003</v>
      </c>
      <c r="D40" s="268">
        <v>99</v>
      </c>
      <c r="E40" s="268">
        <f>B43*1/100</f>
        <v>23.573</v>
      </c>
      <c r="F40" s="268">
        <f>B43*99/100</f>
        <v>2333.7270000000003</v>
      </c>
      <c r="G40" s="268">
        <f>F40/C101*100</f>
        <v>7.5767429764888972</v>
      </c>
      <c r="H40" s="268">
        <f>E40</f>
        <v>23.573</v>
      </c>
      <c r="I40" s="268">
        <v>0</v>
      </c>
      <c r="J40" s="268">
        <v>0</v>
      </c>
      <c r="K40" s="268">
        <v>0</v>
      </c>
      <c r="L40" s="281" t="s">
        <v>233</v>
      </c>
      <c r="M40" s="141"/>
      <c r="N40" s="141"/>
      <c r="O40" s="141"/>
      <c r="P40" s="165">
        <f t="shared" ref="P40:P44" si="14">SUM(P39)</f>
        <v>0</v>
      </c>
      <c r="Q40" s="142"/>
      <c r="R40" s="30"/>
      <c r="S40" s="30"/>
      <c r="T40" s="97"/>
      <c r="U40" s="34"/>
      <c r="V40" s="60" t="s">
        <v>78</v>
      </c>
      <c r="W40" s="60">
        <v>139.4</v>
      </c>
      <c r="X40" s="50">
        <f>W40*1</f>
        <v>139.4</v>
      </c>
      <c r="Y40" s="60"/>
      <c r="Z40" s="58" t="s">
        <v>174</v>
      </c>
      <c r="AA40" s="58">
        <v>8.5399999999999991</v>
      </c>
      <c r="AB40" s="51">
        <f>AA40*5</f>
        <v>42.699999999999996</v>
      </c>
      <c r="AC40" s="58"/>
      <c r="AD40" s="58" t="s">
        <v>180</v>
      </c>
      <c r="AE40" s="58">
        <v>18.7</v>
      </c>
      <c r="AF40" s="59">
        <f>AE40*6</f>
        <v>112.19999999999999</v>
      </c>
      <c r="AG40" s="58"/>
      <c r="AH40" s="58" t="s">
        <v>184</v>
      </c>
      <c r="AI40" s="58">
        <v>34.700000000000003</v>
      </c>
      <c r="AJ40" s="51">
        <f>AI40*1</f>
        <v>34.700000000000003</v>
      </c>
      <c r="AK40" s="141"/>
      <c r="AL40" s="141"/>
      <c r="AM40" s="141"/>
      <c r="AN40" s="51"/>
      <c r="AO40" s="141"/>
      <c r="AP40" s="141"/>
      <c r="AQ40" s="144"/>
      <c r="AR40" s="38">
        <f t="shared" si="0"/>
        <v>328.99999999999994</v>
      </c>
    </row>
    <row r="41" spans="1:44" s="38" customFormat="1" ht="53.45" customHeight="1" x14ac:dyDescent="0.25">
      <c r="A41" s="72"/>
      <c r="B41" s="187"/>
      <c r="C41" s="269"/>
      <c r="D41" s="269"/>
      <c r="E41" s="269"/>
      <c r="F41" s="269"/>
      <c r="G41" s="269"/>
      <c r="H41" s="269"/>
      <c r="I41" s="269"/>
      <c r="J41" s="269"/>
      <c r="K41" s="269"/>
      <c r="L41" s="281"/>
      <c r="M41" s="141"/>
      <c r="N41" s="141"/>
      <c r="O41" s="141"/>
      <c r="P41" s="165">
        <f t="shared" si="14"/>
        <v>0</v>
      </c>
      <c r="Q41" s="142"/>
      <c r="R41" s="30"/>
      <c r="S41" s="30"/>
      <c r="T41" s="97"/>
      <c r="U41" s="34"/>
      <c r="V41" s="34" t="s">
        <v>170</v>
      </c>
      <c r="W41" s="34">
        <v>130.65</v>
      </c>
      <c r="X41" s="50">
        <f>W41*4</f>
        <v>522.6</v>
      </c>
      <c r="Y41" s="60"/>
      <c r="Z41" s="58" t="s">
        <v>142</v>
      </c>
      <c r="AA41" s="58">
        <v>155.80000000000001</v>
      </c>
      <c r="AB41" s="51">
        <f>AA41*2</f>
        <v>311.60000000000002</v>
      </c>
      <c r="AC41" s="58"/>
      <c r="AD41" s="58" t="s">
        <v>181</v>
      </c>
      <c r="AE41" s="58">
        <v>185</v>
      </c>
      <c r="AF41" s="51">
        <f>AE41*1</f>
        <v>185</v>
      </c>
      <c r="AG41" s="141"/>
      <c r="AH41" s="141"/>
      <c r="AI41" s="141"/>
      <c r="AJ41" s="51"/>
      <c r="AK41" s="141"/>
      <c r="AL41" s="141"/>
      <c r="AM41" s="141"/>
      <c r="AN41" s="51"/>
      <c r="AO41" s="141"/>
      <c r="AP41" s="141"/>
      <c r="AQ41" s="144"/>
      <c r="AR41" s="38">
        <f t="shared" si="0"/>
        <v>1019.2</v>
      </c>
    </row>
    <row r="42" spans="1:44" s="38" customFormat="1" ht="67.900000000000006" customHeight="1" x14ac:dyDescent="0.25">
      <c r="A42" s="72"/>
      <c r="B42" s="187"/>
      <c r="C42" s="269"/>
      <c r="D42" s="269"/>
      <c r="E42" s="269"/>
      <c r="F42" s="269"/>
      <c r="G42" s="269"/>
      <c r="H42" s="269"/>
      <c r="I42" s="269"/>
      <c r="J42" s="269"/>
      <c r="K42" s="269"/>
      <c r="L42" s="281"/>
      <c r="M42" s="141"/>
      <c r="N42" s="141"/>
      <c r="O42" s="141"/>
      <c r="P42" s="165">
        <f t="shared" si="14"/>
        <v>0</v>
      </c>
      <c r="Q42" s="142"/>
      <c r="R42" s="30"/>
      <c r="S42" s="30"/>
      <c r="T42" s="11"/>
      <c r="U42" s="143"/>
      <c r="V42" s="32"/>
      <c r="W42" s="32"/>
      <c r="X42" s="52"/>
      <c r="Y42" s="60"/>
      <c r="Z42" s="58" t="s">
        <v>175</v>
      </c>
      <c r="AA42" s="58">
        <v>26.2</v>
      </c>
      <c r="AB42" s="98">
        <f>AA42*2</f>
        <v>52.4</v>
      </c>
      <c r="AC42" s="58"/>
      <c r="AD42" s="58" t="s">
        <v>182</v>
      </c>
      <c r="AE42" s="58">
        <v>239.75</v>
      </c>
      <c r="AF42" s="51">
        <f>AE42*2</f>
        <v>479.5</v>
      </c>
      <c r="AG42" s="141"/>
      <c r="AH42" s="141"/>
      <c r="AI42" s="141"/>
      <c r="AJ42" s="51"/>
      <c r="AK42" s="141"/>
      <c r="AL42" s="141"/>
      <c r="AM42" s="141"/>
      <c r="AN42" s="51"/>
      <c r="AO42" s="141"/>
      <c r="AP42" s="141"/>
      <c r="AQ42" s="144"/>
    </row>
    <row r="43" spans="1:44" s="38" customFormat="1" ht="53.45" customHeight="1" x14ac:dyDescent="0.25">
      <c r="A43" s="72"/>
      <c r="B43" s="187">
        <v>2357.3000000000002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82"/>
      <c r="M43" s="141"/>
      <c r="N43" s="141"/>
      <c r="O43" s="141"/>
      <c r="P43" s="165">
        <f t="shared" si="14"/>
        <v>0</v>
      </c>
      <c r="Q43" s="142"/>
      <c r="R43" s="146"/>
      <c r="S43" s="147"/>
      <c r="T43" s="96"/>
      <c r="U43" s="145"/>
      <c r="V43" s="56"/>
      <c r="W43" s="56"/>
      <c r="X43" s="52"/>
      <c r="Y43" s="60"/>
      <c r="Z43" s="58"/>
      <c r="AA43" s="58"/>
      <c r="AB43" s="98"/>
      <c r="AC43" s="58"/>
      <c r="AD43" s="58" t="s">
        <v>183</v>
      </c>
      <c r="AE43" s="58">
        <v>39.765999999999998</v>
      </c>
      <c r="AF43" s="51">
        <f>AE43*12</f>
        <v>477.19200000000001</v>
      </c>
      <c r="AG43" s="141"/>
      <c r="AH43" s="141"/>
      <c r="AI43" s="141"/>
      <c r="AJ43" s="51"/>
      <c r="AK43" s="141"/>
      <c r="AL43" s="141"/>
      <c r="AM43" s="141"/>
      <c r="AN43" s="51"/>
      <c r="AO43" s="141"/>
      <c r="AP43" s="141"/>
      <c r="AQ43" s="144"/>
    </row>
    <row r="44" spans="1:44" s="28" customFormat="1" ht="53.45" hidden="1" customHeight="1" x14ac:dyDescent="0.25">
      <c r="A44" s="31"/>
      <c r="B44" s="191">
        <f>P44+T44+X44+AB44+AF44+AJ44+AN44</f>
        <v>2357.2919999999999</v>
      </c>
      <c r="C44" s="98"/>
      <c r="D44" s="98"/>
      <c r="E44" s="98"/>
      <c r="F44" s="98"/>
      <c r="G44" s="98"/>
      <c r="H44" s="98"/>
      <c r="I44" s="98"/>
      <c r="J44" s="98"/>
      <c r="K44" s="98"/>
      <c r="L44" s="188"/>
      <c r="M44" s="51"/>
      <c r="N44" s="51"/>
      <c r="O44" s="51"/>
      <c r="P44" s="165">
        <f t="shared" si="14"/>
        <v>0</v>
      </c>
      <c r="Q44" s="165"/>
      <c r="R44" s="189"/>
      <c r="S44" s="190"/>
      <c r="T44" s="96">
        <f>T40+T41+T42+T43</f>
        <v>0</v>
      </c>
      <c r="U44" s="52"/>
      <c r="V44" s="182"/>
      <c r="W44" s="182"/>
      <c r="X44" s="50">
        <f>SUM(X40:X43)</f>
        <v>662</v>
      </c>
      <c r="Y44" s="43"/>
      <c r="Z44" s="59"/>
      <c r="AA44" s="59"/>
      <c r="AB44" s="98">
        <f>SUM(AB40:AB43)</f>
        <v>406.7</v>
      </c>
      <c r="AC44" s="59"/>
      <c r="AD44" s="59"/>
      <c r="AE44" s="59"/>
      <c r="AF44" s="98">
        <f>SUM(AF40:AF43)</f>
        <v>1253.8920000000001</v>
      </c>
      <c r="AG44" s="51"/>
      <c r="AH44" s="51"/>
      <c r="AI44" s="51"/>
      <c r="AJ44" s="51">
        <f>SUM(AJ40:AJ43)</f>
        <v>34.700000000000003</v>
      </c>
      <c r="AK44" s="51"/>
      <c r="AL44" s="51"/>
      <c r="AM44" s="51"/>
      <c r="AN44" s="51">
        <f>AN40+AN41+AN42+AN43</f>
        <v>0</v>
      </c>
      <c r="AO44" s="51"/>
      <c r="AP44" s="51"/>
      <c r="AQ44" s="183"/>
    </row>
    <row r="45" spans="1:44" s="123" customFormat="1" ht="53.45" customHeight="1" x14ac:dyDescent="0.25">
      <c r="A45" s="139"/>
      <c r="B45" s="187"/>
      <c r="C45" s="265">
        <f>F45</f>
        <v>2299.5720000000001</v>
      </c>
      <c r="D45" s="265">
        <v>99</v>
      </c>
      <c r="E45" s="265">
        <f>B48*1/100</f>
        <v>23.228000000000002</v>
      </c>
      <c r="F45" s="265">
        <f>B48*99/100</f>
        <v>2299.5720000000001</v>
      </c>
      <c r="G45" s="265">
        <f>F45/C101*100</f>
        <v>7.4658544036772607</v>
      </c>
      <c r="H45" s="265">
        <f>E45</f>
        <v>23.228000000000002</v>
      </c>
      <c r="I45" s="265">
        <v>0</v>
      </c>
      <c r="J45" s="265">
        <v>0</v>
      </c>
      <c r="K45" s="265">
        <v>0</v>
      </c>
      <c r="L45" s="295" t="s">
        <v>234</v>
      </c>
      <c r="M45" s="140"/>
      <c r="N45" s="140"/>
      <c r="O45" s="140"/>
      <c r="P45" s="165">
        <f t="shared" ref="P45:P49" si="15">SUM(P44)</f>
        <v>0</v>
      </c>
      <c r="Q45" s="148"/>
      <c r="R45" s="114"/>
      <c r="S45" s="114"/>
      <c r="T45" s="11">
        <f t="shared" ref="T45:T49" si="16">SUM(T44)</f>
        <v>0</v>
      </c>
      <c r="U45" s="118"/>
      <c r="V45" s="116" t="s">
        <v>168</v>
      </c>
      <c r="W45" s="116">
        <v>139.4</v>
      </c>
      <c r="X45" s="50">
        <f>W45*1</f>
        <v>139.4</v>
      </c>
      <c r="Y45" s="149"/>
      <c r="Z45" s="150" t="s">
        <v>171</v>
      </c>
      <c r="AA45" s="150">
        <v>8.5399999999999991</v>
      </c>
      <c r="AB45" s="98">
        <f>AA45*5</f>
        <v>42.699999999999996</v>
      </c>
      <c r="AC45" s="150"/>
      <c r="AD45" s="150" t="s">
        <v>176</v>
      </c>
      <c r="AE45" s="150">
        <v>18.73</v>
      </c>
      <c r="AF45" s="51">
        <f>AE45*6</f>
        <v>112.38</v>
      </c>
      <c r="AG45" s="140"/>
      <c r="AH45" s="140"/>
      <c r="AI45" s="140"/>
      <c r="AJ45" s="51"/>
      <c r="AK45" s="140"/>
      <c r="AL45" s="140"/>
      <c r="AM45" s="140"/>
      <c r="AN45" s="51">
        <f t="shared" ref="AN45:AN49" si="17">SUM(AN44)</f>
        <v>0</v>
      </c>
      <c r="AO45" s="140"/>
      <c r="AP45" s="140"/>
      <c r="AQ45" s="138"/>
    </row>
    <row r="46" spans="1:44" s="123" customFormat="1" ht="53.45" customHeight="1" x14ac:dyDescent="0.25">
      <c r="A46" s="139"/>
      <c r="B46" s="187"/>
      <c r="C46" s="266"/>
      <c r="D46" s="266"/>
      <c r="E46" s="266"/>
      <c r="F46" s="266"/>
      <c r="G46" s="266"/>
      <c r="H46" s="266"/>
      <c r="I46" s="266"/>
      <c r="J46" s="266"/>
      <c r="K46" s="266"/>
      <c r="L46" s="296"/>
      <c r="M46" s="140"/>
      <c r="N46" s="140"/>
      <c r="O46" s="140"/>
      <c r="P46" s="165">
        <f t="shared" si="15"/>
        <v>0</v>
      </c>
      <c r="Q46" s="148"/>
      <c r="R46" s="114"/>
      <c r="S46" s="114"/>
      <c r="T46" s="11">
        <f t="shared" si="16"/>
        <v>0</v>
      </c>
      <c r="U46" s="118"/>
      <c r="V46" s="116" t="s">
        <v>169</v>
      </c>
      <c r="W46" s="116">
        <v>130.65</v>
      </c>
      <c r="X46" s="50">
        <f>W46*4</f>
        <v>522.6</v>
      </c>
      <c r="Y46" s="149"/>
      <c r="Z46" s="150" t="s">
        <v>172</v>
      </c>
      <c r="AA46" s="150">
        <v>155.80000000000001</v>
      </c>
      <c r="AB46" s="98">
        <f>AA46*2</f>
        <v>311.60000000000002</v>
      </c>
      <c r="AC46" s="150"/>
      <c r="AD46" s="150" t="s">
        <v>177</v>
      </c>
      <c r="AE46" s="150">
        <v>185</v>
      </c>
      <c r="AF46" s="51">
        <f>AE46*1</f>
        <v>185</v>
      </c>
      <c r="AG46" s="140"/>
      <c r="AH46" s="140"/>
      <c r="AI46" s="140"/>
      <c r="AJ46" s="51"/>
      <c r="AK46" s="140"/>
      <c r="AL46" s="140"/>
      <c r="AM46" s="140"/>
      <c r="AN46" s="51">
        <f t="shared" si="17"/>
        <v>0</v>
      </c>
      <c r="AO46" s="140"/>
      <c r="AP46" s="140"/>
      <c r="AQ46" s="138"/>
    </row>
    <row r="47" spans="1:44" s="123" customFormat="1" ht="53.45" customHeight="1" x14ac:dyDescent="0.25">
      <c r="A47" s="139"/>
      <c r="B47" s="187"/>
      <c r="C47" s="266"/>
      <c r="D47" s="266"/>
      <c r="E47" s="266"/>
      <c r="F47" s="266"/>
      <c r="G47" s="266"/>
      <c r="H47" s="266"/>
      <c r="I47" s="266"/>
      <c r="J47" s="266"/>
      <c r="K47" s="266"/>
      <c r="L47" s="296"/>
      <c r="M47" s="140"/>
      <c r="N47" s="140"/>
      <c r="O47" s="140"/>
      <c r="P47" s="165">
        <f t="shared" si="15"/>
        <v>0</v>
      </c>
      <c r="Q47" s="148"/>
      <c r="R47" s="114"/>
      <c r="S47" s="114"/>
      <c r="T47" s="11">
        <f t="shared" si="16"/>
        <v>0</v>
      </c>
      <c r="U47" s="137"/>
      <c r="V47" s="116"/>
      <c r="W47" s="116"/>
      <c r="X47" s="50"/>
      <c r="Y47" s="149"/>
      <c r="Z47" s="150" t="s">
        <v>173</v>
      </c>
      <c r="AA47" s="150">
        <v>26.25</v>
      </c>
      <c r="AB47" s="98">
        <f>AA47*2</f>
        <v>52.5</v>
      </c>
      <c r="AC47" s="150"/>
      <c r="AD47" s="150" t="s">
        <v>178</v>
      </c>
      <c r="AE47" s="150">
        <v>239.75</v>
      </c>
      <c r="AF47" s="51">
        <f>AE47*2</f>
        <v>479.5</v>
      </c>
      <c r="AG47" s="140"/>
      <c r="AH47" s="140"/>
      <c r="AI47" s="140"/>
      <c r="AJ47" s="51"/>
      <c r="AK47" s="140"/>
      <c r="AL47" s="140"/>
      <c r="AM47" s="140"/>
      <c r="AN47" s="51">
        <f t="shared" si="17"/>
        <v>0</v>
      </c>
      <c r="AO47" s="140"/>
      <c r="AP47" s="140"/>
      <c r="AQ47" s="138"/>
    </row>
    <row r="48" spans="1:44" s="123" customFormat="1" ht="53.45" customHeight="1" x14ac:dyDescent="0.25">
      <c r="A48" s="139"/>
      <c r="B48" s="187">
        <v>2322.8000000000002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97"/>
      <c r="M48" s="140"/>
      <c r="N48" s="140"/>
      <c r="O48" s="140"/>
      <c r="P48" s="165">
        <f t="shared" si="15"/>
        <v>0</v>
      </c>
      <c r="Q48" s="148"/>
      <c r="R48" s="139"/>
      <c r="S48" s="139"/>
      <c r="T48" s="167">
        <f t="shared" si="16"/>
        <v>0</v>
      </c>
      <c r="U48" s="140"/>
      <c r="V48" s="126"/>
      <c r="W48" s="126"/>
      <c r="X48" s="50"/>
      <c r="Y48" s="149"/>
      <c r="Z48" s="150"/>
      <c r="AA48" s="150"/>
      <c r="AB48" s="98"/>
      <c r="AC48" s="150"/>
      <c r="AD48" s="150" t="s">
        <v>179</v>
      </c>
      <c r="AE48" s="150">
        <v>39.76</v>
      </c>
      <c r="AF48" s="51">
        <f>AE48*12</f>
        <v>477.12</v>
      </c>
      <c r="AG48" s="140"/>
      <c r="AH48" s="140"/>
      <c r="AI48" s="140"/>
      <c r="AJ48" s="51"/>
      <c r="AK48" s="140"/>
      <c r="AL48" s="140"/>
      <c r="AM48" s="140"/>
      <c r="AN48" s="51">
        <f t="shared" si="17"/>
        <v>0</v>
      </c>
      <c r="AO48" s="140"/>
      <c r="AP48" s="140"/>
      <c r="AQ48" s="138"/>
    </row>
    <row r="49" spans="1:45" s="28" customFormat="1" ht="53.45" hidden="1" customHeight="1" x14ac:dyDescent="0.25">
      <c r="A49" s="31"/>
      <c r="B49" s="187">
        <f>P49+T49+X49+AB49+AF49+AJ49+AN49</f>
        <v>2322.8000000000002</v>
      </c>
      <c r="C49" s="98"/>
      <c r="D49" s="98"/>
      <c r="E49" s="98"/>
      <c r="F49" s="98"/>
      <c r="G49" s="98"/>
      <c r="H49" s="98"/>
      <c r="I49" s="98"/>
      <c r="J49" s="98"/>
      <c r="K49" s="98"/>
      <c r="L49" s="192"/>
      <c r="M49" s="51"/>
      <c r="N49" s="51"/>
      <c r="O49" s="51"/>
      <c r="P49" s="165">
        <f t="shared" si="15"/>
        <v>0</v>
      </c>
      <c r="Q49" s="165"/>
      <c r="R49" s="31"/>
      <c r="S49" s="31"/>
      <c r="T49" s="167">
        <f t="shared" si="16"/>
        <v>0</v>
      </c>
      <c r="U49" s="51"/>
      <c r="V49" s="24"/>
      <c r="W49" s="24"/>
      <c r="X49" s="50">
        <f>SUM(X45:X48)</f>
        <v>662</v>
      </c>
      <c r="Y49" s="43"/>
      <c r="Z49" s="59"/>
      <c r="AA49" s="59"/>
      <c r="AB49" s="98">
        <f>SUM(AB45:AB48)</f>
        <v>406.8</v>
      </c>
      <c r="AC49" s="59"/>
      <c r="AD49" s="59"/>
      <c r="AE49" s="59"/>
      <c r="AF49" s="51">
        <f>SUM(AF45:AF48)</f>
        <v>1254</v>
      </c>
      <c r="AG49" s="51"/>
      <c r="AH49" s="51"/>
      <c r="AI49" s="51"/>
      <c r="AJ49" s="51">
        <f>AJ45+AJ46+AJ47+AJ48</f>
        <v>0</v>
      </c>
      <c r="AK49" s="51"/>
      <c r="AL49" s="51"/>
      <c r="AM49" s="51"/>
      <c r="AN49" s="51">
        <f t="shared" si="17"/>
        <v>0</v>
      </c>
      <c r="AO49" s="51"/>
      <c r="AP49" s="51"/>
      <c r="AQ49" s="183"/>
    </row>
    <row r="50" spans="1:45" s="38" customFormat="1" ht="76.5" customHeight="1" x14ac:dyDescent="0.25">
      <c r="A50" s="72"/>
      <c r="B50" s="187"/>
      <c r="C50" s="268">
        <f>F50</f>
        <v>3214.1339999999996</v>
      </c>
      <c r="D50" s="268">
        <v>99</v>
      </c>
      <c r="E50" s="268">
        <f>B55*1/100</f>
        <v>32.466000000000001</v>
      </c>
      <c r="F50" s="268">
        <f>B55*99/100</f>
        <v>3214.1339999999996</v>
      </c>
      <c r="G50" s="268">
        <f>F50/C101*100</f>
        <v>10.435096825804456</v>
      </c>
      <c r="H50" s="268">
        <f>E50</f>
        <v>32.466000000000001</v>
      </c>
      <c r="I50" s="268">
        <v>0</v>
      </c>
      <c r="J50" s="268">
        <v>0</v>
      </c>
      <c r="K50" s="268">
        <v>0</v>
      </c>
      <c r="L50" s="300" t="s">
        <v>235</v>
      </c>
      <c r="M50" s="141"/>
      <c r="N50" s="141"/>
      <c r="O50" s="141"/>
      <c r="P50" s="165">
        <f t="shared" ref="P50:P56" si="18">SUM(P49)</f>
        <v>0</v>
      </c>
      <c r="Q50" s="34"/>
      <c r="R50" s="109" t="s">
        <v>185</v>
      </c>
      <c r="S50" s="109">
        <v>14.8</v>
      </c>
      <c r="T50" s="11">
        <f>S50*4</f>
        <v>59.2</v>
      </c>
      <c r="U50" s="34"/>
      <c r="V50" s="109" t="s">
        <v>187</v>
      </c>
      <c r="W50" s="109">
        <v>25.8</v>
      </c>
      <c r="X50" s="50">
        <f>W50*10</f>
        <v>258</v>
      </c>
      <c r="Y50" s="34"/>
      <c r="Z50" s="36"/>
      <c r="AA50" s="58"/>
      <c r="AB50" s="98"/>
      <c r="AC50" s="58"/>
      <c r="AD50" s="58"/>
      <c r="AE50" s="58"/>
      <c r="AF50" s="51"/>
      <c r="AG50" s="141"/>
      <c r="AH50" s="109" t="s">
        <v>193</v>
      </c>
      <c r="AI50" s="109">
        <v>24.88</v>
      </c>
      <c r="AJ50" s="98">
        <f>AI50*15</f>
        <v>373.2</v>
      </c>
      <c r="AK50" s="141"/>
      <c r="AL50" s="151" t="s">
        <v>194</v>
      </c>
      <c r="AM50" s="151">
        <v>44.3</v>
      </c>
      <c r="AN50" s="51">
        <f>AM50*10</f>
        <v>443</v>
      </c>
      <c r="AO50" s="141"/>
      <c r="AP50" s="141"/>
      <c r="AQ50" s="144"/>
    </row>
    <row r="51" spans="1:45" s="38" customFormat="1" ht="29.45" customHeight="1" x14ac:dyDescent="0.25">
      <c r="A51" s="72"/>
      <c r="B51" s="187"/>
      <c r="C51" s="269"/>
      <c r="D51" s="269"/>
      <c r="E51" s="269"/>
      <c r="F51" s="269"/>
      <c r="G51" s="269"/>
      <c r="H51" s="269"/>
      <c r="I51" s="269"/>
      <c r="J51" s="269"/>
      <c r="K51" s="269"/>
      <c r="L51" s="300"/>
      <c r="M51" s="141"/>
      <c r="N51" s="141"/>
      <c r="O51" s="141"/>
      <c r="P51" s="165">
        <f t="shared" si="18"/>
        <v>0</v>
      </c>
      <c r="Q51" s="34"/>
      <c r="R51" s="109" t="s">
        <v>186</v>
      </c>
      <c r="S51" s="109">
        <v>76.33</v>
      </c>
      <c r="T51" s="11">
        <f>S51*3</f>
        <v>228.99</v>
      </c>
      <c r="U51" s="34"/>
      <c r="V51" s="109" t="s">
        <v>188</v>
      </c>
      <c r="W51" s="109">
        <v>406.4</v>
      </c>
      <c r="X51" s="50">
        <f>W51*1</f>
        <v>406.4</v>
      </c>
      <c r="Y51" s="34"/>
      <c r="Z51" s="36"/>
      <c r="AA51" s="58"/>
      <c r="AB51" s="98"/>
      <c r="AC51" s="58"/>
      <c r="AD51" s="58"/>
      <c r="AE51" s="58"/>
      <c r="AF51" s="51"/>
      <c r="AG51" s="141"/>
      <c r="AH51" s="141"/>
      <c r="AI51" s="141"/>
      <c r="AJ51" s="51"/>
      <c r="AK51" s="141"/>
      <c r="AL51" s="141"/>
      <c r="AM51" s="141"/>
      <c r="AN51" s="51"/>
      <c r="AO51" s="141"/>
      <c r="AP51" s="141"/>
      <c r="AQ51" s="144"/>
    </row>
    <row r="52" spans="1:45" s="38" customFormat="1" ht="29.45" customHeight="1" x14ac:dyDescent="0.25">
      <c r="A52" s="72"/>
      <c r="B52" s="187"/>
      <c r="C52" s="269"/>
      <c r="D52" s="269"/>
      <c r="E52" s="269"/>
      <c r="F52" s="269"/>
      <c r="G52" s="269"/>
      <c r="H52" s="269"/>
      <c r="I52" s="269"/>
      <c r="J52" s="269"/>
      <c r="K52" s="269"/>
      <c r="L52" s="300"/>
      <c r="M52" s="141"/>
      <c r="N52" s="141"/>
      <c r="O52" s="141"/>
      <c r="P52" s="165">
        <f t="shared" si="18"/>
        <v>0</v>
      </c>
      <c r="Q52" s="34"/>
      <c r="R52" s="109" t="s">
        <v>141</v>
      </c>
      <c r="S52" s="109">
        <v>122.05</v>
      </c>
      <c r="T52" s="11">
        <f>S52*2</f>
        <v>244.1</v>
      </c>
      <c r="U52" s="34"/>
      <c r="V52" s="109" t="s">
        <v>189</v>
      </c>
      <c r="W52" s="109">
        <v>167.8</v>
      </c>
      <c r="X52" s="50">
        <f>W52*3</f>
        <v>503.40000000000003</v>
      </c>
      <c r="Y52" s="34"/>
      <c r="Z52" s="36"/>
      <c r="AA52" s="58"/>
      <c r="AB52" s="98"/>
      <c r="AC52" s="58"/>
      <c r="AD52" s="58"/>
      <c r="AE52" s="58"/>
      <c r="AF52" s="51"/>
      <c r="AG52" s="141"/>
      <c r="AH52" s="141"/>
      <c r="AI52" s="141"/>
      <c r="AJ52" s="51"/>
      <c r="AK52" s="141"/>
      <c r="AL52" s="141"/>
      <c r="AM52" s="141"/>
      <c r="AN52" s="51"/>
      <c r="AO52" s="141"/>
      <c r="AP52" s="141"/>
      <c r="AQ52" s="144"/>
    </row>
    <row r="53" spans="1:45" s="38" customFormat="1" ht="29.45" customHeight="1" x14ac:dyDescent="0.25">
      <c r="A53" s="72"/>
      <c r="B53" s="187"/>
      <c r="C53" s="269"/>
      <c r="D53" s="269"/>
      <c r="E53" s="269"/>
      <c r="F53" s="269"/>
      <c r="G53" s="269"/>
      <c r="H53" s="269"/>
      <c r="I53" s="269"/>
      <c r="J53" s="269"/>
      <c r="K53" s="269"/>
      <c r="L53" s="300"/>
      <c r="M53" s="141"/>
      <c r="N53" s="141"/>
      <c r="O53" s="141"/>
      <c r="P53" s="165">
        <f t="shared" si="18"/>
        <v>0</v>
      </c>
      <c r="Q53" s="142"/>
      <c r="R53" s="30"/>
      <c r="S53" s="30"/>
      <c r="T53" s="11"/>
      <c r="U53" s="34"/>
      <c r="V53" s="109" t="s">
        <v>190</v>
      </c>
      <c r="W53" s="109">
        <v>16.13</v>
      </c>
      <c r="X53" s="50">
        <f>W53*10</f>
        <v>161.29999999999998</v>
      </c>
      <c r="Y53" s="34"/>
      <c r="Z53" s="36"/>
      <c r="AA53" s="58"/>
      <c r="AB53" s="98"/>
      <c r="AC53" s="58"/>
      <c r="AD53" s="58"/>
      <c r="AE53" s="58"/>
      <c r="AF53" s="51"/>
      <c r="AG53" s="141"/>
      <c r="AH53" s="141"/>
      <c r="AI53" s="141"/>
      <c r="AJ53" s="51"/>
      <c r="AK53" s="141"/>
      <c r="AL53" s="141"/>
      <c r="AM53" s="141"/>
      <c r="AN53" s="51"/>
      <c r="AO53" s="141"/>
      <c r="AP53" s="141"/>
      <c r="AQ53" s="144"/>
    </row>
    <row r="54" spans="1:45" s="38" customFormat="1" ht="33" customHeight="1" x14ac:dyDescent="0.25">
      <c r="A54" s="72"/>
      <c r="B54" s="187"/>
      <c r="C54" s="269"/>
      <c r="D54" s="269"/>
      <c r="E54" s="269"/>
      <c r="F54" s="269"/>
      <c r="G54" s="269"/>
      <c r="H54" s="269"/>
      <c r="I54" s="269"/>
      <c r="J54" s="269"/>
      <c r="K54" s="269"/>
      <c r="L54" s="300"/>
      <c r="M54" s="141"/>
      <c r="N54" s="141"/>
      <c r="O54" s="141"/>
      <c r="P54" s="165">
        <f t="shared" si="18"/>
        <v>0</v>
      </c>
      <c r="Q54" s="142"/>
      <c r="R54" s="30"/>
      <c r="S54" s="30"/>
      <c r="T54" s="11"/>
      <c r="U54" s="34"/>
      <c r="V54" s="109" t="s">
        <v>191</v>
      </c>
      <c r="W54" s="109">
        <v>311.7</v>
      </c>
      <c r="X54" s="50">
        <f>W54*1</f>
        <v>311.7</v>
      </c>
      <c r="Y54" s="34"/>
      <c r="Z54" s="36"/>
      <c r="AA54" s="58"/>
      <c r="AB54" s="98"/>
      <c r="AC54" s="58"/>
      <c r="AD54" s="58"/>
      <c r="AE54" s="58"/>
      <c r="AF54" s="51"/>
      <c r="AG54" s="141"/>
      <c r="AH54" s="141"/>
      <c r="AI54" s="141"/>
      <c r="AJ54" s="51"/>
      <c r="AK54" s="141"/>
      <c r="AL54" s="141"/>
      <c r="AM54" s="141"/>
      <c r="AN54" s="51"/>
      <c r="AO54" s="141"/>
      <c r="AP54" s="141"/>
      <c r="AQ54" s="144"/>
    </row>
    <row r="55" spans="1:45" s="38" customFormat="1" ht="47.45" customHeight="1" x14ac:dyDescent="0.25">
      <c r="A55" s="72"/>
      <c r="B55" s="187">
        <v>3246.6</v>
      </c>
      <c r="C55" s="270"/>
      <c r="D55" s="270"/>
      <c r="E55" s="270"/>
      <c r="F55" s="270"/>
      <c r="G55" s="270"/>
      <c r="H55" s="270"/>
      <c r="I55" s="270"/>
      <c r="J55" s="270"/>
      <c r="K55" s="270"/>
      <c r="L55" s="300"/>
      <c r="M55" s="141"/>
      <c r="N55" s="141"/>
      <c r="O55" s="141"/>
      <c r="P55" s="165">
        <f t="shared" si="18"/>
        <v>0</v>
      </c>
      <c r="Q55" s="142"/>
      <c r="R55" s="30"/>
      <c r="S55" s="30"/>
      <c r="T55" s="11"/>
      <c r="U55" s="34"/>
      <c r="V55" s="109" t="s">
        <v>192</v>
      </c>
      <c r="W55" s="109">
        <v>12.865</v>
      </c>
      <c r="X55" s="51">
        <f>W55*20</f>
        <v>257.3</v>
      </c>
      <c r="Y55" s="60"/>
      <c r="Z55" s="58"/>
      <c r="AA55" s="58"/>
      <c r="AB55" s="98"/>
      <c r="AC55" s="58"/>
      <c r="AD55" s="58"/>
      <c r="AE55" s="58"/>
      <c r="AF55" s="51"/>
      <c r="AG55" s="141"/>
      <c r="AH55" s="141"/>
      <c r="AI55" s="141"/>
      <c r="AJ55" s="51"/>
      <c r="AK55" s="141"/>
      <c r="AL55" s="141"/>
      <c r="AM55" s="141"/>
      <c r="AN55" s="51"/>
      <c r="AO55" s="141"/>
      <c r="AP55" s="141"/>
      <c r="AQ55" s="144"/>
    </row>
    <row r="56" spans="1:45" s="28" customFormat="1" ht="47.45" hidden="1" customHeight="1" x14ac:dyDescent="0.25">
      <c r="A56" s="31"/>
      <c r="B56" s="187">
        <f>P56+T56+X56+AB56+AF56+AJ56+AN56</f>
        <v>3246.5899999999997</v>
      </c>
      <c r="C56" s="98"/>
      <c r="D56" s="98"/>
      <c r="E56" s="98"/>
      <c r="F56" s="98"/>
      <c r="G56" s="98"/>
      <c r="H56" s="98"/>
      <c r="I56" s="98"/>
      <c r="J56" s="98"/>
      <c r="K56" s="98"/>
      <c r="L56" s="193"/>
      <c r="M56" s="51"/>
      <c r="N56" s="51"/>
      <c r="O56" s="51"/>
      <c r="P56" s="165">
        <f t="shared" si="18"/>
        <v>0</v>
      </c>
      <c r="Q56" s="165"/>
      <c r="R56" s="44"/>
      <c r="S56" s="44"/>
      <c r="T56" s="11">
        <f>SUM(T50:T55)</f>
        <v>532.29</v>
      </c>
      <c r="U56" s="25"/>
      <c r="V56" s="24"/>
      <c r="W56" s="24"/>
      <c r="X56" s="51">
        <f>SUM(X50:X55)</f>
        <v>1898.1</v>
      </c>
      <c r="Y56" s="43"/>
      <c r="Z56" s="59"/>
      <c r="AA56" s="59"/>
      <c r="AB56" s="98">
        <f>AB50+AB51+AB52+AB53+AB54+AB55</f>
        <v>0</v>
      </c>
      <c r="AC56" s="59"/>
      <c r="AD56" s="59"/>
      <c r="AE56" s="59"/>
      <c r="AF56" s="51">
        <f>AF50+AF51+AF52+AF53+AF54+AF55</f>
        <v>0</v>
      </c>
      <c r="AG56" s="51"/>
      <c r="AH56" s="51"/>
      <c r="AI56" s="51"/>
      <c r="AJ56" s="98">
        <f>SUM(AJ50:AJ55)</f>
        <v>373.2</v>
      </c>
      <c r="AK56" s="51"/>
      <c r="AL56" s="51"/>
      <c r="AM56" s="51"/>
      <c r="AN56" s="51">
        <f>SUM(AN50:AN55)</f>
        <v>443</v>
      </c>
      <c r="AO56" s="51"/>
      <c r="AP56" s="51"/>
      <c r="AQ56" s="183"/>
    </row>
    <row r="57" spans="1:45" s="123" customFormat="1" ht="31.5" customHeight="1" x14ac:dyDescent="0.25">
      <c r="A57" s="139"/>
      <c r="B57" s="187"/>
      <c r="C57" s="265">
        <f>F57</f>
        <v>5444.6040000000003</v>
      </c>
      <c r="D57" s="265">
        <v>99</v>
      </c>
      <c r="E57" s="265">
        <f>B61*1/100</f>
        <v>54.996000000000002</v>
      </c>
      <c r="F57" s="265">
        <f>B61*99/100</f>
        <v>5444.6040000000003</v>
      </c>
      <c r="G57" s="265">
        <f>F57/C101*100</f>
        <v>17.676602754633834</v>
      </c>
      <c r="H57" s="265">
        <f>E57</f>
        <v>54.996000000000002</v>
      </c>
      <c r="I57" s="265">
        <v>0</v>
      </c>
      <c r="J57" s="265">
        <v>0</v>
      </c>
      <c r="K57" s="265">
        <v>0</v>
      </c>
      <c r="L57" s="295" t="s">
        <v>236</v>
      </c>
      <c r="M57" s="140"/>
      <c r="N57" s="140"/>
      <c r="O57" s="140"/>
      <c r="P57" s="165">
        <f t="shared" ref="P57:P61" si="19">SUM(P56)</f>
        <v>0</v>
      </c>
      <c r="Q57" s="118"/>
      <c r="R57" s="116" t="s">
        <v>201</v>
      </c>
      <c r="S57" s="137">
        <v>4.3499999999999996</v>
      </c>
      <c r="T57" s="11">
        <f>S57*10</f>
        <v>43.5</v>
      </c>
      <c r="U57" s="118"/>
      <c r="V57" s="116"/>
      <c r="W57" s="116"/>
      <c r="X57" s="50"/>
      <c r="Y57" s="118"/>
      <c r="Z57" s="120"/>
      <c r="AA57" s="150"/>
      <c r="AB57" s="98">
        <f t="shared" ref="AB57:AB62" si="20">SUM(AB56)</f>
        <v>0</v>
      </c>
      <c r="AC57" s="150"/>
      <c r="AD57" s="150"/>
      <c r="AE57" s="150"/>
      <c r="AF57" s="51">
        <f t="shared" ref="AF57:AF62" si="21">SUM(AF56)</f>
        <v>0</v>
      </c>
      <c r="AG57" s="140"/>
      <c r="AH57" s="140"/>
      <c r="AI57" s="140"/>
      <c r="AJ57" s="51"/>
      <c r="AK57" s="140"/>
      <c r="AL57" s="140"/>
      <c r="AM57" s="140"/>
      <c r="AN57" s="51"/>
      <c r="AO57" s="140"/>
      <c r="AP57" s="140"/>
      <c r="AQ57" s="138"/>
    </row>
    <row r="58" spans="1:45" s="123" customFormat="1" ht="47.45" customHeight="1" x14ac:dyDescent="0.25">
      <c r="A58" s="139"/>
      <c r="B58" s="187"/>
      <c r="C58" s="266"/>
      <c r="D58" s="266"/>
      <c r="E58" s="266"/>
      <c r="F58" s="266"/>
      <c r="G58" s="266"/>
      <c r="H58" s="266"/>
      <c r="I58" s="266"/>
      <c r="J58" s="266"/>
      <c r="K58" s="266"/>
      <c r="L58" s="296"/>
      <c r="M58" s="140"/>
      <c r="N58" s="140"/>
      <c r="O58" s="140"/>
      <c r="P58" s="165">
        <f t="shared" si="19"/>
        <v>0</v>
      </c>
      <c r="Q58" s="118"/>
      <c r="R58" s="116" t="s">
        <v>202</v>
      </c>
      <c r="S58" s="137">
        <v>3.2</v>
      </c>
      <c r="T58" s="11">
        <f>S58*24</f>
        <v>76.800000000000011</v>
      </c>
      <c r="U58" s="118"/>
      <c r="V58" s="116"/>
      <c r="W58" s="116"/>
      <c r="X58" s="50"/>
      <c r="Y58" s="118"/>
      <c r="Z58" s="120"/>
      <c r="AA58" s="150"/>
      <c r="AB58" s="98">
        <f t="shared" si="20"/>
        <v>0</v>
      </c>
      <c r="AC58" s="150"/>
      <c r="AD58" s="150"/>
      <c r="AE58" s="150"/>
      <c r="AF58" s="51">
        <f t="shared" si="21"/>
        <v>0</v>
      </c>
      <c r="AG58" s="140"/>
      <c r="AH58" s="140"/>
      <c r="AI58" s="140"/>
      <c r="AJ58" s="51"/>
      <c r="AK58" s="140"/>
      <c r="AL58" s="140"/>
      <c r="AM58" s="140"/>
      <c r="AN58" s="51"/>
      <c r="AO58" s="140"/>
      <c r="AP58" s="140"/>
      <c r="AQ58" s="138"/>
    </row>
    <row r="59" spans="1:45" s="123" customFormat="1" ht="28.5" customHeight="1" x14ac:dyDescent="0.25">
      <c r="A59" s="139"/>
      <c r="B59" s="187"/>
      <c r="C59" s="266"/>
      <c r="D59" s="266"/>
      <c r="E59" s="266"/>
      <c r="F59" s="266"/>
      <c r="G59" s="266"/>
      <c r="H59" s="266"/>
      <c r="I59" s="266"/>
      <c r="J59" s="266"/>
      <c r="K59" s="266"/>
      <c r="L59" s="296"/>
      <c r="M59" s="140"/>
      <c r="N59" s="140"/>
      <c r="O59" s="140"/>
      <c r="P59" s="165">
        <f t="shared" si="19"/>
        <v>0</v>
      </c>
      <c r="Q59" s="118"/>
      <c r="R59" s="116" t="s">
        <v>203</v>
      </c>
      <c r="S59" s="137">
        <v>4.3499999999999996</v>
      </c>
      <c r="T59" s="11">
        <f>S59*4</f>
        <v>17.399999999999999</v>
      </c>
      <c r="U59" s="118"/>
      <c r="V59" s="116"/>
      <c r="W59" s="116"/>
      <c r="X59" s="50"/>
      <c r="Y59" s="118"/>
      <c r="Z59" s="120"/>
      <c r="AA59" s="150"/>
      <c r="AB59" s="98">
        <f t="shared" si="20"/>
        <v>0</v>
      </c>
      <c r="AC59" s="150"/>
      <c r="AD59" s="150"/>
      <c r="AE59" s="150"/>
      <c r="AF59" s="51">
        <f t="shared" si="21"/>
        <v>0</v>
      </c>
      <c r="AG59" s="140"/>
      <c r="AH59" s="140"/>
      <c r="AI59" s="140"/>
      <c r="AJ59" s="51"/>
      <c r="AK59" s="140"/>
      <c r="AL59" s="140"/>
      <c r="AM59" s="140"/>
      <c r="AN59" s="51"/>
      <c r="AO59" s="140"/>
      <c r="AP59" s="140"/>
      <c r="AQ59" s="138"/>
    </row>
    <row r="60" spans="1:45" s="123" customFormat="1" ht="29.25" customHeight="1" x14ac:dyDescent="0.25">
      <c r="A60" s="139"/>
      <c r="B60" s="187"/>
      <c r="C60" s="266"/>
      <c r="D60" s="266"/>
      <c r="E60" s="266"/>
      <c r="F60" s="266"/>
      <c r="G60" s="266"/>
      <c r="H60" s="266"/>
      <c r="I60" s="266"/>
      <c r="J60" s="266"/>
      <c r="K60" s="266"/>
      <c r="L60" s="296"/>
      <c r="M60" s="140"/>
      <c r="N60" s="140"/>
      <c r="O60" s="140"/>
      <c r="P60" s="165">
        <f t="shared" si="19"/>
        <v>0</v>
      </c>
      <c r="Q60" s="118"/>
      <c r="R60" s="126" t="s">
        <v>204</v>
      </c>
      <c r="S60" s="137">
        <v>142.69999999999999</v>
      </c>
      <c r="T60" s="11">
        <f>S60*18</f>
        <v>2568.6</v>
      </c>
      <c r="U60" s="118"/>
      <c r="V60" s="116"/>
      <c r="W60" s="116"/>
      <c r="X60" s="50"/>
      <c r="Y60" s="118"/>
      <c r="Z60" s="120"/>
      <c r="AA60" s="150"/>
      <c r="AB60" s="98">
        <f t="shared" si="20"/>
        <v>0</v>
      </c>
      <c r="AC60" s="150"/>
      <c r="AD60" s="150"/>
      <c r="AE60" s="150"/>
      <c r="AF60" s="51">
        <f t="shared" si="21"/>
        <v>0</v>
      </c>
      <c r="AG60" s="140"/>
      <c r="AH60" s="140"/>
      <c r="AI60" s="140"/>
      <c r="AJ60" s="51"/>
      <c r="AK60" s="140"/>
      <c r="AL60" s="140"/>
      <c r="AM60" s="140"/>
      <c r="AN60" s="51"/>
      <c r="AO60" s="140"/>
      <c r="AP60" s="140"/>
      <c r="AQ60" s="138"/>
    </row>
    <row r="61" spans="1:45" s="123" customFormat="1" ht="94.5" customHeight="1" x14ac:dyDescent="0.25">
      <c r="A61" s="139"/>
      <c r="B61" s="210">
        <v>5499.6</v>
      </c>
      <c r="C61" s="267"/>
      <c r="D61" s="267"/>
      <c r="E61" s="267"/>
      <c r="F61" s="267"/>
      <c r="G61" s="267"/>
      <c r="H61" s="267"/>
      <c r="I61" s="267"/>
      <c r="J61" s="267"/>
      <c r="K61" s="267"/>
      <c r="L61" s="297"/>
      <c r="M61" s="140"/>
      <c r="N61" s="140"/>
      <c r="O61" s="140"/>
      <c r="P61" s="165">
        <f t="shared" si="19"/>
        <v>0</v>
      </c>
      <c r="Q61" s="152" t="s">
        <v>207</v>
      </c>
      <c r="R61" s="126" t="s">
        <v>205</v>
      </c>
      <c r="S61" s="126" t="s">
        <v>206</v>
      </c>
      <c r="T61" s="96">
        <f>2836.8</f>
        <v>2836.8</v>
      </c>
      <c r="U61" s="152"/>
      <c r="V61" s="116"/>
      <c r="W61" s="116"/>
      <c r="X61" s="50"/>
      <c r="Y61" s="118"/>
      <c r="Z61" s="120"/>
      <c r="AA61" s="150"/>
      <c r="AB61" s="98">
        <f t="shared" si="20"/>
        <v>0</v>
      </c>
      <c r="AC61" s="150"/>
      <c r="AD61" s="150"/>
      <c r="AE61" s="150"/>
      <c r="AF61" s="51">
        <f t="shared" si="21"/>
        <v>0</v>
      </c>
      <c r="AG61" s="140"/>
      <c r="AH61" s="140"/>
      <c r="AI61" s="140"/>
      <c r="AJ61" s="51"/>
      <c r="AK61" s="140"/>
      <c r="AL61" s="140"/>
      <c r="AM61" s="140"/>
      <c r="AN61" s="51"/>
      <c r="AO61" s="140"/>
      <c r="AP61" s="140"/>
      <c r="AQ61" s="138"/>
    </row>
    <row r="62" spans="1:45" s="28" customFormat="1" ht="37.5" hidden="1" customHeight="1" x14ac:dyDescent="0.25">
      <c r="A62" s="31"/>
      <c r="B62" s="187">
        <f>P62+T62+X62+AB62+AF62+AJ62+AN62</f>
        <v>5499.6</v>
      </c>
      <c r="C62" s="215"/>
      <c r="D62" s="215"/>
      <c r="E62" s="215"/>
      <c r="F62" s="215"/>
      <c r="G62" s="215"/>
      <c r="H62" s="215"/>
      <c r="I62" s="215"/>
      <c r="J62" s="215"/>
      <c r="K62" s="215"/>
      <c r="L62" s="188"/>
      <c r="M62" s="51"/>
      <c r="N62" s="51"/>
      <c r="O62" s="51"/>
      <c r="P62" s="165">
        <f>SUM(P57:P61)</f>
        <v>0</v>
      </c>
      <c r="Q62" s="194"/>
      <c r="R62" s="182"/>
      <c r="S62" s="195"/>
      <c r="T62" s="96">
        <f>T58+T59+T60+T61</f>
        <v>5499.6</v>
      </c>
      <c r="U62" s="196"/>
      <c r="V62" s="182"/>
      <c r="W62" s="182"/>
      <c r="X62" s="52">
        <f>X57+X58+X59+X60+X61</f>
        <v>0</v>
      </c>
      <c r="Y62" s="196"/>
      <c r="Z62" s="169"/>
      <c r="AA62" s="59"/>
      <c r="AB62" s="98">
        <f t="shared" si="20"/>
        <v>0</v>
      </c>
      <c r="AC62" s="59"/>
      <c r="AD62" s="59"/>
      <c r="AE62" s="59"/>
      <c r="AF62" s="51">
        <f t="shared" si="21"/>
        <v>0</v>
      </c>
      <c r="AG62" s="51"/>
      <c r="AH62" s="51"/>
      <c r="AI62" s="51"/>
      <c r="AJ62" s="51">
        <f>AJ57+AJ58+AJ59+AJ60+AJ61</f>
        <v>0</v>
      </c>
      <c r="AK62" s="51"/>
      <c r="AL62" s="51"/>
      <c r="AM62" s="51"/>
      <c r="AN62" s="51">
        <f>AN57+AN58+AN59+AN60+AN61</f>
        <v>0</v>
      </c>
      <c r="AO62" s="51"/>
      <c r="AP62" s="51"/>
      <c r="AQ62" s="183"/>
    </row>
    <row r="63" spans="1:45" s="38" customFormat="1" ht="99" customHeight="1" x14ac:dyDescent="0.25">
      <c r="A63" s="53"/>
      <c r="B63" s="208">
        <v>80</v>
      </c>
      <c r="C63" s="211">
        <f>F63</f>
        <v>79.2</v>
      </c>
      <c r="D63" s="211">
        <v>99</v>
      </c>
      <c r="E63" s="211">
        <f>B63*1/100</f>
        <v>0.8</v>
      </c>
      <c r="F63" s="211">
        <f>B63*99/100</f>
        <v>79.2</v>
      </c>
      <c r="G63" s="211">
        <f>F63/C101*100</f>
        <v>0.257132922461762</v>
      </c>
      <c r="H63" s="211">
        <f>E63</f>
        <v>0.8</v>
      </c>
      <c r="I63" s="211">
        <v>0</v>
      </c>
      <c r="J63" s="211">
        <v>0</v>
      </c>
      <c r="K63" s="211">
        <v>0</v>
      </c>
      <c r="L63" s="235" t="s">
        <v>238</v>
      </c>
      <c r="M63" s="53"/>
      <c r="N63" s="30"/>
      <c r="O63" s="30"/>
      <c r="P63" s="54"/>
      <c r="Q63" s="71"/>
      <c r="R63" s="30"/>
      <c r="S63" s="30"/>
      <c r="T63" s="55">
        <f>AE63*1</f>
        <v>40</v>
      </c>
      <c r="U63" s="71"/>
      <c r="V63" s="30"/>
      <c r="W63" s="30"/>
      <c r="X63" s="57">
        <f>AI63*1</f>
        <v>40</v>
      </c>
      <c r="Y63" s="92"/>
      <c r="Z63" s="92"/>
      <c r="AA63" s="58"/>
      <c r="AB63" s="59"/>
      <c r="AC63" s="53"/>
      <c r="AD63" s="58" t="s">
        <v>48</v>
      </c>
      <c r="AE63" s="58">
        <v>40</v>
      </c>
      <c r="AF63" s="58"/>
      <c r="AG63" s="58"/>
      <c r="AH63" s="58" t="s">
        <v>49</v>
      </c>
      <c r="AI63" s="58">
        <v>40</v>
      </c>
      <c r="AJ63" s="43"/>
      <c r="AK63" s="53"/>
      <c r="AL63" s="58"/>
      <c r="AM63" s="58"/>
      <c r="AN63" s="59"/>
      <c r="AO63" s="53"/>
      <c r="AP63" s="53"/>
      <c r="AQ63" s="53"/>
      <c r="AR63" s="28">
        <f t="shared" si="0"/>
        <v>80</v>
      </c>
      <c r="AS63" s="38">
        <f>AR63</f>
        <v>80</v>
      </c>
    </row>
    <row r="64" spans="1:45" s="28" customFormat="1" ht="41.25" hidden="1" customHeight="1" x14ac:dyDescent="0.25">
      <c r="A64" s="175"/>
      <c r="B64" s="208">
        <f>P63+T63+X63+AB63+AF63+AJ63+AN63</f>
        <v>80</v>
      </c>
      <c r="C64" s="208"/>
      <c r="D64" s="208"/>
      <c r="E64" s="208"/>
      <c r="F64" s="208"/>
      <c r="G64" s="208"/>
      <c r="H64" s="208"/>
      <c r="I64" s="208"/>
      <c r="J64" s="208"/>
      <c r="K64" s="208"/>
      <c r="L64" s="234"/>
      <c r="M64" s="175"/>
      <c r="N64" s="44"/>
      <c r="O64" s="44"/>
      <c r="P64" s="54"/>
      <c r="Q64" s="227"/>
      <c r="R64" s="57"/>
      <c r="S64" s="55"/>
      <c r="T64" s="55"/>
      <c r="U64" s="57"/>
      <c r="V64" s="182"/>
      <c r="W64" s="197"/>
      <c r="X64" s="57"/>
      <c r="Y64" s="57"/>
      <c r="Z64" s="57"/>
      <c r="AA64" s="59"/>
      <c r="AB64" s="59"/>
      <c r="AC64" s="175"/>
      <c r="AD64" s="43"/>
      <c r="AE64" s="43"/>
      <c r="AF64" s="43"/>
      <c r="AG64" s="175"/>
      <c r="AH64" s="43"/>
      <c r="AI64" s="43"/>
      <c r="AJ64" s="43"/>
      <c r="AK64" s="175"/>
      <c r="AL64" s="59"/>
      <c r="AM64" s="59"/>
      <c r="AN64" s="59"/>
      <c r="AO64" s="175"/>
      <c r="AP64" s="175"/>
      <c r="AQ64" s="175"/>
    </row>
    <row r="65" spans="1:45" s="114" customFormat="1" ht="82.5" customHeight="1" x14ac:dyDescent="0.25">
      <c r="A65" s="153"/>
      <c r="B65" s="70"/>
      <c r="C65" s="263">
        <f>F65</f>
        <v>235.125</v>
      </c>
      <c r="D65" s="263">
        <v>99</v>
      </c>
      <c r="E65" s="263">
        <f>B66*1/100</f>
        <v>2.375</v>
      </c>
      <c r="F65" s="263">
        <f>B66*99/100</f>
        <v>235.125</v>
      </c>
      <c r="G65" s="263">
        <f>F65/C101*100</f>
        <v>0.7633633635583561</v>
      </c>
      <c r="H65" s="263">
        <f>E65</f>
        <v>2.375</v>
      </c>
      <c r="I65" s="263">
        <v>0</v>
      </c>
      <c r="J65" s="263">
        <v>0</v>
      </c>
      <c r="K65" s="263">
        <v>0</v>
      </c>
      <c r="L65" s="286" t="s">
        <v>237</v>
      </c>
      <c r="M65" s="153"/>
      <c r="P65" s="44"/>
      <c r="Q65" s="153"/>
      <c r="R65" s="154"/>
      <c r="S65" s="153"/>
      <c r="T65" s="61"/>
      <c r="U65" s="153"/>
      <c r="V65" s="153" t="s">
        <v>50</v>
      </c>
      <c r="W65" s="153">
        <v>9.4</v>
      </c>
      <c r="X65" s="61">
        <f>W65*1</f>
        <v>9.4</v>
      </c>
      <c r="Y65" s="153"/>
      <c r="Z65" s="153"/>
      <c r="AA65" s="120"/>
      <c r="AB65" s="27"/>
      <c r="AC65" s="153"/>
      <c r="AD65" s="120" t="s">
        <v>51</v>
      </c>
      <c r="AE65" s="120">
        <v>9.4</v>
      </c>
      <c r="AF65" s="27">
        <f>AE65*2</f>
        <v>18.8</v>
      </c>
      <c r="AG65" s="153"/>
      <c r="AH65" s="118"/>
      <c r="AJ65" s="44">
        <f t="shared" ref="AJ65:AJ67" si="22">SUM(AJ62:AJ64)</f>
        <v>0</v>
      </c>
      <c r="AK65" s="153"/>
      <c r="AL65" s="120"/>
      <c r="AM65" s="120"/>
      <c r="AN65" s="27">
        <f t="shared" ref="AN65:AN67" si="23">SUM(AN62:AN64)</f>
        <v>0</v>
      </c>
      <c r="AO65" s="153"/>
      <c r="AP65" s="153"/>
      <c r="AQ65" s="153"/>
      <c r="AR65" s="123">
        <f t="shared" si="0"/>
        <v>28.200000000000003</v>
      </c>
      <c r="AS65" s="114">
        <f>AR65+AR66</f>
        <v>237.5</v>
      </c>
    </row>
    <row r="66" spans="1:45" s="114" customFormat="1" ht="82.5" customHeight="1" x14ac:dyDescent="0.25">
      <c r="A66" s="153"/>
      <c r="B66" s="70">
        <v>237.5</v>
      </c>
      <c r="C66" s="264"/>
      <c r="D66" s="264"/>
      <c r="E66" s="264"/>
      <c r="F66" s="264"/>
      <c r="G66" s="264"/>
      <c r="H66" s="264"/>
      <c r="I66" s="264"/>
      <c r="J66" s="264"/>
      <c r="K66" s="264"/>
      <c r="L66" s="286"/>
      <c r="M66" s="153"/>
      <c r="P66" s="44"/>
      <c r="Q66" s="153"/>
      <c r="R66" s="154"/>
      <c r="S66" s="153"/>
      <c r="T66" s="61"/>
      <c r="U66" s="153"/>
      <c r="V66" s="153" t="s">
        <v>57</v>
      </c>
      <c r="W66" s="153">
        <v>209.3</v>
      </c>
      <c r="X66" s="61">
        <f>W66*1</f>
        <v>209.3</v>
      </c>
      <c r="Y66" s="153"/>
      <c r="Z66" s="153"/>
      <c r="AA66" s="120"/>
      <c r="AB66" s="27"/>
      <c r="AC66" s="153"/>
      <c r="AD66" s="120"/>
      <c r="AE66" s="120"/>
      <c r="AF66" s="27"/>
      <c r="AG66" s="153"/>
      <c r="AH66" s="118"/>
      <c r="AJ66" s="44">
        <f t="shared" si="22"/>
        <v>0</v>
      </c>
      <c r="AK66" s="153"/>
      <c r="AL66" s="120"/>
      <c r="AM66" s="120"/>
      <c r="AN66" s="27">
        <f t="shared" si="23"/>
        <v>0</v>
      </c>
      <c r="AO66" s="153"/>
      <c r="AP66" s="153"/>
      <c r="AQ66" s="153"/>
      <c r="AR66" s="123">
        <f t="shared" si="0"/>
        <v>209.3</v>
      </c>
    </row>
    <row r="67" spans="1:45" s="190" customFormat="1" ht="46.5" hidden="1" customHeight="1" x14ac:dyDescent="0.25">
      <c r="A67" s="176"/>
      <c r="B67" s="216">
        <f>P67+T67+X67+AB67+AF67+AJ67+AN67</f>
        <v>237.50000000000003</v>
      </c>
      <c r="C67" s="216"/>
      <c r="D67" s="216"/>
      <c r="E67" s="216"/>
      <c r="F67" s="216"/>
      <c r="G67" s="216"/>
      <c r="H67" s="216"/>
      <c r="I67" s="216"/>
      <c r="J67" s="216"/>
      <c r="K67" s="216"/>
      <c r="L67" s="234"/>
      <c r="M67" s="176"/>
      <c r="P67" s="190">
        <f>P65+P66</f>
        <v>0</v>
      </c>
      <c r="Q67" s="198"/>
      <c r="R67" s="199"/>
      <c r="S67" s="176"/>
      <c r="T67" s="176">
        <f>T65+T66</f>
        <v>0</v>
      </c>
      <c r="U67" s="176"/>
      <c r="V67" s="176"/>
      <c r="W67" s="176"/>
      <c r="X67" s="176">
        <f>SUM(X65:X66)</f>
        <v>218.70000000000002</v>
      </c>
      <c r="Y67" s="176"/>
      <c r="Z67" s="176"/>
      <c r="AA67" s="26"/>
      <c r="AB67" s="26">
        <f>AB65+AB66</f>
        <v>0</v>
      </c>
      <c r="AC67" s="176"/>
      <c r="AD67" s="26"/>
      <c r="AE67" s="26"/>
      <c r="AF67" s="26">
        <f>SUM(AF65:AF66)</f>
        <v>18.8</v>
      </c>
      <c r="AG67" s="176"/>
      <c r="AH67" s="45"/>
      <c r="AI67" s="39"/>
      <c r="AJ67" s="39">
        <f t="shared" si="22"/>
        <v>0</v>
      </c>
      <c r="AK67" s="176"/>
      <c r="AL67" s="26"/>
      <c r="AM67" s="26"/>
      <c r="AN67" s="26">
        <f t="shared" si="23"/>
        <v>0</v>
      </c>
      <c r="AO67" s="176"/>
      <c r="AP67" s="176"/>
      <c r="AQ67" s="176"/>
      <c r="AR67" s="28"/>
    </row>
    <row r="68" spans="1:45" s="38" customFormat="1" ht="57.75" customHeight="1" x14ac:dyDescent="0.25">
      <c r="A68" s="62"/>
      <c r="B68" s="216"/>
      <c r="C68" s="260">
        <f>F68</f>
        <v>561.62699999999995</v>
      </c>
      <c r="D68" s="260">
        <v>99</v>
      </c>
      <c r="E68" s="260">
        <f>B70*1/100</f>
        <v>5.6729999999999992</v>
      </c>
      <c r="F68" s="260">
        <f>B70*99/100</f>
        <v>561.62699999999995</v>
      </c>
      <c r="G68" s="260">
        <f>F68/C101*100</f>
        <v>1.8233938364069699</v>
      </c>
      <c r="H68" s="260">
        <f>E68</f>
        <v>5.6729999999999992</v>
      </c>
      <c r="I68" s="260">
        <v>0</v>
      </c>
      <c r="J68" s="260">
        <v>0</v>
      </c>
      <c r="K68" s="260">
        <v>0</v>
      </c>
      <c r="L68" s="287" t="s">
        <v>239</v>
      </c>
      <c r="M68" s="62"/>
      <c r="P68" s="28"/>
      <c r="Q68" s="63"/>
      <c r="R68" s="64"/>
      <c r="S68" s="64"/>
      <c r="T68" s="39"/>
      <c r="U68" s="62"/>
      <c r="V68" s="65" t="s">
        <v>54</v>
      </c>
      <c r="W68" s="66">
        <v>25</v>
      </c>
      <c r="X68" s="67">
        <f>W68*1</f>
        <v>25</v>
      </c>
      <c r="Y68" s="62"/>
      <c r="Z68" s="62"/>
      <c r="AA68" s="68"/>
      <c r="AB68" s="26">
        <f t="shared" ref="AB68:AB71" si="24">SUM(AB67)</f>
        <v>0</v>
      </c>
      <c r="AC68" s="62"/>
      <c r="AD68" s="68" t="s">
        <v>52</v>
      </c>
      <c r="AE68" s="68">
        <v>95.4</v>
      </c>
      <c r="AF68" s="26">
        <f>AE68*1</f>
        <v>95.4</v>
      </c>
      <c r="AG68" s="62"/>
      <c r="AH68" s="64"/>
      <c r="AI68" s="64"/>
      <c r="AJ68" s="39"/>
      <c r="AK68" s="62"/>
      <c r="AL68" s="68"/>
      <c r="AM68" s="68"/>
      <c r="AN68" s="26"/>
      <c r="AO68" s="62"/>
      <c r="AP68" s="62"/>
      <c r="AQ68" s="62"/>
      <c r="AR68" s="28">
        <f t="shared" si="0"/>
        <v>120.4</v>
      </c>
      <c r="AS68" s="38">
        <f>AR68+AR69+AR70</f>
        <v>567.29999999999995</v>
      </c>
    </row>
    <row r="69" spans="1:45" s="38" customFormat="1" ht="118.5" customHeight="1" x14ac:dyDescent="0.25">
      <c r="A69" s="30"/>
      <c r="B69" s="186"/>
      <c r="C69" s="261"/>
      <c r="D69" s="261"/>
      <c r="E69" s="261"/>
      <c r="F69" s="261"/>
      <c r="G69" s="261"/>
      <c r="H69" s="261"/>
      <c r="I69" s="261"/>
      <c r="J69" s="261"/>
      <c r="K69" s="261"/>
      <c r="L69" s="288"/>
      <c r="M69" s="30"/>
      <c r="N69" s="30"/>
      <c r="O69" s="30"/>
      <c r="P69" s="41"/>
      <c r="Q69" s="46"/>
      <c r="R69" s="30"/>
      <c r="S69" s="30"/>
      <c r="T69" s="44"/>
      <c r="U69" s="35"/>
      <c r="V69" s="34" t="s">
        <v>56</v>
      </c>
      <c r="W69" s="69">
        <v>110</v>
      </c>
      <c r="X69" s="70">
        <f>W69*1</f>
        <v>110</v>
      </c>
      <c r="Y69" s="35"/>
      <c r="Z69" s="34"/>
      <c r="AA69" s="36"/>
      <c r="AB69" s="27">
        <f t="shared" si="24"/>
        <v>0</v>
      </c>
      <c r="AC69" s="35"/>
      <c r="AD69" s="71" t="s">
        <v>60</v>
      </c>
      <c r="AE69" s="71">
        <v>67.3</v>
      </c>
      <c r="AF69" s="61">
        <f>AE69*3</f>
        <v>201.89999999999998</v>
      </c>
      <c r="AG69" s="35"/>
      <c r="AH69" s="30"/>
      <c r="AI69" s="30"/>
      <c r="AJ69" s="44"/>
      <c r="AK69" s="35"/>
      <c r="AL69" s="36"/>
      <c r="AM69" s="36"/>
      <c r="AN69" s="27"/>
      <c r="AO69" s="35"/>
      <c r="AP69" s="35"/>
      <c r="AQ69" s="35"/>
      <c r="AR69" s="28">
        <f t="shared" si="0"/>
        <v>311.89999999999998</v>
      </c>
    </row>
    <row r="70" spans="1:45" s="38" customFormat="1" ht="69.75" customHeight="1" x14ac:dyDescent="0.25">
      <c r="A70" s="72"/>
      <c r="B70" s="187">
        <v>567.29999999999995</v>
      </c>
      <c r="C70" s="262"/>
      <c r="D70" s="262"/>
      <c r="E70" s="262"/>
      <c r="F70" s="262"/>
      <c r="G70" s="262"/>
      <c r="H70" s="262"/>
      <c r="I70" s="262"/>
      <c r="J70" s="262"/>
      <c r="K70" s="262"/>
      <c r="L70" s="289"/>
      <c r="M70" s="72"/>
      <c r="N70" s="72"/>
      <c r="O70" s="72"/>
      <c r="P70" s="23"/>
      <c r="Q70" s="73"/>
      <c r="R70" s="74"/>
      <c r="S70" s="74"/>
      <c r="T70" s="24"/>
      <c r="U70" s="75"/>
      <c r="V70" s="76"/>
      <c r="W70" s="60"/>
      <c r="X70" s="43"/>
      <c r="Y70" s="75"/>
      <c r="Z70" s="60"/>
      <c r="AA70" s="58"/>
      <c r="AB70" s="59">
        <f t="shared" si="24"/>
        <v>0</v>
      </c>
      <c r="AC70" s="75"/>
      <c r="AD70" s="58" t="s">
        <v>55</v>
      </c>
      <c r="AE70" s="58">
        <v>135</v>
      </c>
      <c r="AF70" s="59">
        <f>AE70*1</f>
        <v>135</v>
      </c>
      <c r="AG70" s="75"/>
      <c r="AH70" s="75"/>
      <c r="AI70" s="75"/>
      <c r="AJ70" s="77"/>
      <c r="AK70" s="75"/>
      <c r="AL70" s="78"/>
      <c r="AM70" s="78"/>
      <c r="AN70" s="79"/>
      <c r="AO70" s="75"/>
      <c r="AP70" s="75"/>
      <c r="AQ70" s="75"/>
      <c r="AR70" s="28">
        <f t="shared" si="0"/>
        <v>135</v>
      </c>
    </row>
    <row r="71" spans="1:45" s="28" customFormat="1" ht="69.75" hidden="1" customHeight="1" x14ac:dyDescent="0.25">
      <c r="A71" s="31"/>
      <c r="B71" s="187">
        <f>P71+T71+X71+AB71+AF71+AJ71+AN71</f>
        <v>567.29999999999995</v>
      </c>
      <c r="C71" s="187"/>
      <c r="D71" s="187"/>
      <c r="E71" s="187"/>
      <c r="F71" s="187"/>
      <c r="G71" s="187"/>
      <c r="H71" s="187"/>
      <c r="I71" s="187"/>
      <c r="J71" s="187"/>
      <c r="K71" s="187"/>
      <c r="L71" s="57"/>
      <c r="M71" s="31"/>
      <c r="N71" s="31"/>
      <c r="O71" s="31"/>
      <c r="P71" s="23">
        <f>P68+P69+P70</f>
        <v>0</v>
      </c>
      <c r="Q71" s="200"/>
      <c r="R71" s="24"/>
      <c r="S71" s="24"/>
      <c r="T71" s="24">
        <f>T68+T69+T70</f>
        <v>0</v>
      </c>
      <c r="U71" s="77"/>
      <c r="V71" s="201"/>
      <c r="W71" s="43"/>
      <c r="X71" s="48">
        <f>SUM(X68:X70)</f>
        <v>135</v>
      </c>
      <c r="Y71" s="77"/>
      <c r="Z71" s="43"/>
      <c r="AA71" s="59"/>
      <c r="AB71" s="59">
        <f t="shared" si="24"/>
        <v>0</v>
      </c>
      <c r="AC71" s="77"/>
      <c r="AD71" s="59"/>
      <c r="AE71" s="59"/>
      <c r="AF71" s="59">
        <f>SUM(AF68:AF70)</f>
        <v>432.29999999999995</v>
      </c>
      <c r="AG71" s="77"/>
      <c r="AH71" s="77"/>
      <c r="AI71" s="77"/>
      <c r="AJ71" s="77">
        <f>AJ68+AJ69+AJ70</f>
        <v>0</v>
      </c>
      <c r="AK71" s="77"/>
      <c r="AL71" s="79"/>
      <c r="AM71" s="79"/>
      <c r="AN71" s="79">
        <f>AN68+AN69+AN70</f>
        <v>0</v>
      </c>
      <c r="AO71" s="77"/>
      <c r="AP71" s="77"/>
      <c r="AQ71" s="77"/>
    </row>
    <row r="72" spans="1:45" s="114" customFormat="1" ht="68.25" customHeight="1" x14ac:dyDescent="0.25">
      <c r="B72" s="186"/>
      <c r="C72" s="255">
        <f>F72</f>
        <v>538.65899999999999</v>
      </c>
      <c r="D72" s="255">
        <v>99</v>
      </c>
      <c r="E72" s="255">
        <f>B75*1/100</f>
        <v>5.4409999999999998</v>
      </c>
      <c r="F72" s="255">
        <f>B75*99/100</f>
        <v>538.65899999999999</v>
      </c>
      <c r="G72" s="255">
        <f>F72/C101*100</f>
        <v>1.7488252888930591</v>
      </c>
      <c r="H72" s="255">
        <f>E72</f>
        <v>5.4409999999999998</v>
      </c>
      <c r="I72" s="255">
        <v>0</v>
      </c>
      <c r="J72" s="255">
        <v>0</v>
      </c>
      <c r="K72" s="255">
        <v>0</v>
      </c>
      <c r="L72" s="290" t="s">
        <v>240</v>
      </c>
      <c r="P72" s="44"/>
      <c r="Q72" s="121"/>
      <c r="R72" s="116"/>
      <c r="S72" s="116"/>
      <c r="T72" s="33"/>
      <c r="U72" s="121"/>
      <c r="V72" s="118" t="s">
        <v>62</v>
      </c>
      <c r="W72" s="118">
        <v>4.7</v>
      </c>
      <c r="X72" s="25">
        <f>W72*2</f>
        <v>9.4</v>
      </c>
      <c r="Y72" s="121"/>
      <c r="Z72" s="118"/>
      <c r="AA72" s="120"/>
      <c r="AB72" s="27"/>
      <c r="AC72" s="121"/>
      <c r="AD72" s="120" t="s">
        <v>58</v>
      </c>
      <c r="AE72" s="120">
        <v>49.5</v>
      </c>
      <c r="AF72" s="27">
        <f>AE72*2</f>
        <v>99</v>
      </c>
      <c r="AG72" s="121"/>
      <c r="AH72" s="120" t="s">
        <v>59</v>
      </c>
      <c r="AI72" s="120">
        <v>40</v>
      </c>
      <c r="AJ72" s="27">
        <f>AI72*3</f>
        <v>120</v>
      </c>
      <c r="AK72" s="121"/>
      <c r="AL72" s="155"/>
      <c r="AM72" s="155"/>
      <c r="AN72" s="80">
        <f t="shared" ref="AN72:AN76" si="25">SUM(AN71)</f>
        <v>0</v>
      </c>
      <c r="AO72" s="121"/>
      <c r="AP72" s="121"/>
      <c r="AQ72" s="121"/>
      <c r="AR72" s="123">
        <f t="shared" si="0"/>
        <v>228.4</v>
      </c>
      <c r="AS72" s="114">
        <f>AR72+AR73+AR74+AR75</f>
        <v>544.09999999999991</v>
      </c>
    </row>
    <row r="73" spans="1:45" s="114" customFormat="1" ht="63" customHeight="1" x14ac:dyDescent="0.25">
      <c r="B73" s="186"/>
      <c r="C73" s="256"/>
      <c r="D73" s="256"/>
      <c r="E73" s="256"/>
      <c r="F73" s="256"/>
      <c r="G73" s="256"/>
      <c r="H73" s="256"/>
      <c r="I73" s="256"/>
      <c r="J73" s="256"/>
      <c r="K73" s="256"/>
      <c r="L73" s="291"/>
      <c r="P73" s="44"/>
      <c r="Q73" s="121"/>
      <c r="R73" s="116"/>
      <c r="S73" s="116"/>
      <c r="T73" s="33"/>
      <c r="U73" s="121"/>
      <c r="X73" s="44"/>
      <c r="Y73" s="121"/>
      <c r="Z73" s="118"/>
      <c r="AA73" s="120"/>
      <c r="AB73" s="27"/>
      <c r="AC73" s="121"/>
      <c r="AD73" s="153" t="s">
        <v>60</v>
      </c>
      <c r="AE73" s="153">
        <v>67.3</v>
      </c>
      <c r="AF73" s="61">
        <f>AE73*3</f>
        <v>201.89999999999998</v>
      </c>
      <c r="AG73" s="121"/>
      <c r="AI73" s="121"/>
      <c r="AJ73" s="29"/>
      <c r="AK73" s="121"/>
      <c r="AL73" s="155"/>
      <c r="AM73" s="155"/>
      <c r="AN73" s="80">
        <f t="shared" si="25"/>
        <v>0</v>
      </c>
      <c r="AO73" s="121"/>
      <c r="AP73" s="121"/>
      <c r="AQ73" s="121"/>
      <c r="AR73" s="123">
        <f t="shared" si="0"/>
        <v>201.89999999999998</v>
      </c>
    </row>
    <row r="74" spans="1:45" s="114" customFormat="1" ht="72.75" customHeight="1" x14ac:dyDescent="0.25">
      <c r="B74" s="186"/>
      <c r="C74" s="256"/>
      <c r="D74" s="256"/>
      <c r="E74" s="256"/>
      <c r="F74" s="256"/>
      <c r="G74" s="256"/>
      <c r="H74" s="256"/>
      <c r="I74" s="256"/>
      <c r="J74" s="256"/>
      <c r="K74" s="256"/>
      <c r="L74" s="291"/>
      <c r="P74" s="44"/>
      <c r="Q74" s="121"/>
      <c r="R74" s="116"/>
      <c r="S74" s="116"/>
      <c r="T74" s="33"/>
      <c r="U74" s="121"/>
      <c r="X74" s="44"/>
      <c r="Y74" s="121"/>
      <c r="Z74" s="118"/>
      <c r="AA74" s="120"/>
      <c r="AB74" s="27"/>
      <c r="AC74" s="121"/>
      <c r="AD74" s="120" t="s">
        <v>61</v>
      </c>
      <c r="AE74" s="120">
        <v>95</v>
      </c>
      <c r="AF74" s="27">
        <f>AE74*1</f>
        <v>95</v>
      </c>
      <c r="AG74" s="121"/>
      <c r="AH74" s="121"/>
      <c r="AI74" s="121"/>
      <c r="AJ74" s="29"/>
      <c r="AK74" s="121"/>
      <c r="AL74" s="122"/>
      <c r="AM74" s="155"/>
      <c r="AN74" s="80">
        <f t="shared" si="25"/>
        <v>0</v>
      </c>
      <c r="AO74" s="121"/>
      <c r="AP74" s="121"/>
      <c r="AQ74" s="121"/>
      <c r="AR74" s="123">
        <f t="shared" si="0"/>
        <v>95</v>
      </c>
    </row>
    <row r="75" spans="1:45" s="114" customFormat="1" ht="56.25" customHeight="1" x14ac:dyDescent="0.25">
      <c r="B75" s="186">
        <v>544.1</v>
      </c>
      <c r="C75" s="257"/>
      <c r="D75" s="257"/>
      <c r="E75" s="257"/>
      <c r="F75" s="257"/>
      <c r="G75" s="257"/>
      <c r="H75" s="257"/>
      <c r="I75" s="257"/>
      <c r="J75" s="257"/>
      <c r="K75" s="257"/>
      <c r="L75" s="292"/>
      <c r="P75" s="44"/>
      <c r="Q75" s="121"/>
      <c r="R75" s="116"/>
      <c r="S75" s="116"/>
      <c r="T75" s="33"/>
      <c r="U75" s="121"/>
      <c r="V75" s="118"/>
      <c r="W75" s="118"/>
      <c r="X75" s="25"/>
      <c r="Y75" s="121"/>
      <c r="Z75" s="118"/>
      <c r="AA75" s="120"/>
      <c r="AB75" s="27"/>
      <c r="AC75" s="121"/>
      <c r="AD75" s="120" t="s">
        <v>63</v>
      </c>
      <c r="AE75" s="120">
        <v>4.7</v>
      </c>
      <c r="AF75" s="27">
        <f>AE75*4</f>
        <v>18.8</v>
      </c>
      <c r="AG75" s="121"/>
      <c r="AH75" s="121"/>
      <c r="AI75" s="121"/>
      <c r="AJ75" s="29"/>
      <c r="AK75" s="121"/>
      <c r="AL75" s="122"/>
      <c r="AM75" s="155"/>
      <c r="AN75" s="80">
        <f t="shared" si="25"/>
        <v>0</v>
      </c>
      <c r="AO75" s="121"/>
      <c r="AP75" s="121"/>
      <c r="AQ75" s="121"/>
      <c r="AR75" s="123">
        <f t="shared" si="0"/>
        <v>18.8</v>
      </c>
    </row>
    <row r="76" spans="1:45" s="190" customFormat="1" ht="56.25" hidden="1" customHeight="1" x14ac:dyDescent="0.25">
      <c r="A76" s="39"/>
      <c r="B76" s="217">
        <f>P76+T76+X76+AB76+AF76+AJ76+AN76</f>
        <v>544.09999999999991</v>
      </c>
      <c r="C76" s="217"/>
      <c r="D76" s="217"/>
      <c r="E76" s="217"/>
      <c r="F76" s="217"/>
      <c r="G76" s="217"/>
      <c r="H76" s="217"/>
      <c r="I76" s="217"/>
      <c r="J76" s="217"/>
      <c r="K76" s="217"/>
      <c r="L76" s="57"/>
      <c r="M76" s="39"/>
      <c r="N76" s="39"/>
      <c r="O76" s="39"/>
      <c r="P76" s="81">
        <f>P72+P73+P74+P75</f>
        <v>0</v>
      </c>
      <c r="Q76" s="202"/>
      <c r="R76" s="40"/>
      <c r="S76" s="40"/>
      <c r="T76" s="40">
        <f>T72+T73+T74+T75</f>
        <v>0</v>
      </c>
      <c r="U76" s="49"/>
      <c r="V76" s="45"/>
      <c r="W76" s="45"/>
      <c r="X76" s="45">
        <f>SUM(X72:X75)</f>
        <v>9.4</v>
      </c>
      <c r="Y76" s="49"/>
      <c r="Z76" s="45"/>
      <c r="AA76" s="26"/>
      <c r="AB76" s="26">
        <f>AB72+AB73+AB74+AB75</f>
        <v>0</v>
      </c>
      <c r="AC76" s="49"/>
      <c r="AD76" s="26"/>
      <c r="AE76" s="26"/>
      <c r="AF76" s="26">
        <f>SUM(AF72:AF75)</f>
        <v>414.7</v>
      </c>
      <c r="AG76" s="49"/>
      <c r="AH76" s="49"/>
      <c r="AI76" s="49"/>
      <c r="AJ76" s="49">
        <f>SUM(AJ72:AJ75)</f>
        <v>120</v>
      </c>
      <c r="AK76" s="49"/>
      <c r="AL76" s="203"/>
      <c r="AM76" s="87"/>
      <c r="AN76" s="87">
        <f t="shared" si="25"/>
        <v>0</v>
      </c>
      <c r="AO76" s="49"/>
      <c r="AP76" s="49"/>
      <c r="AQ76" s="49"/>
      <c r="AR76" s="28"/>
    </row>
    <row r="77" spans="1:45" s="38" customFormat="1" ht="75.75" customHeight="1" x14ac:dyDescent="0.25">
      <c r="A77" s="64"/>
      <c r="B77" s="217">
        <v>223.5</v>
      </c>
      <c r="C77" s="209">
        <f>F77</f>
        <v>221.26499999999999</v>
      </c>
      <c r="D77" s="209">
        <v>99</v>
      </c>
      <c r="E77" s="209">
        <f>B77*1/100</f>
        <v>2.2349999999999999</v>
      </c>
      <c r="F77" s="209">
        <f>B77*99/100</f>
        <v>221.26499999999999</v>
      </c>
      <c r="G77" s="209">
        <f>F77/C101*100</f>
        <v>0.71836510212754767</v>
      </c>
      <c r="H77" s="209">
        <f>E77</f>
        <v>2.2349999999999999</v>
      </c>
      <c r="I77" s="209">
        <v>0</v>
      </c>
      <c r="J77" s="209">
        <v>0</v>
      </c>
      <c r="K77" s="209">
        <v>0</v>
      </c>
      <c r="L77" s="233" t="s">
        <v>241</v>
      </c>
      <c r="M77" s="64"/>
      <c r="N77" s="64"/>
      <c r="O77" s="64"/>
      <c r="P77" s="81"/>
      <c r="Q77" s="82"/>
      <c r="R77" s="83" t="s">
        <v>64</v>
      </c>
      <c r="S77" s="83">
        <v>223.5</v>
      </c>
      <c r="T77" s="40">
        <f>S77*1</f>
        <v>223.5</v>
      </c>
      <c r="U77" s="84"/>
      <c r="V77" s="65"/>
      <c r="W77" s="65"/>
      <c r="X77" s="45"/>
      <c r="Y77" s="84"/>
      <c r="Z77" s="65"/>
      <c r="AA77" s="65"/>
      <c r="AB77" s="45"/>
      <c r="AC77" s="84"/>
      <c r="AD77" s="65"/>
      <c r="AE77" s="65"/>
      <c r="AF77" s="45"/>
      <c r="AG77" s="84"/>
      <c r="AH77" s="84"/>
      <c r="AI77" s="84"/>
      <c r="AJ77" s="49"/>
      <c r="AK77" s="84"/>
      <c r="AL77" s="85"/>
      <c r="AM77" s="86"/>
      <c r="AN77" s="87"/>
      <c r="AO77" s="84"/>
      <c r="AP77" s="84"/>
      <c r="AQ77" s="84"/>
      <c r="AR77" s="28">
        <f t="shared" si="0"/>
        <v>223.5</v>
      </c>
      <c r="AS77" s="38">
        <f>AR77</f>
        <v>223.5</v>
      </c>
    </row>
    <row r="78" spans="1:45" s="28" customFormat="1" ht="60.75" hidden="1" customHeight="1" x14ac:dyDescent="0.25">
      <c r="A78" s="39"/>
      <c r="B78" s="217">
        <f>T77+X77+AB77+AF77+AJ77+AN77</f>
        <v>223.5</v>
      </c>
      <c r="C78" s="217"/>
      <c r="D78" s="217"/>
      <c r="E78" s="217"/>
      <c r="F78" s="217"/>
      <c r="G78" s="217"/>
      <c r="H78" s="217"/>
      <c r="I78" s="217"/>
      <c r="J78" s="217"/>
      <c r="K78" s="217"/>
      <c r="L78" s="57"/>
      <c r="M78" s="39"/>
      <c r="N78" s="39"/>
      <c r="O78" s="39"/>
      <c r="P78" s="81"/>
      <c r="Q78" s="202"/>
      <c r="R78" s="40"/>
      <c r="S78" s="40"/>
      <c r="T78" s="40"/>
      <c r="U78" s="49"/>
      <c r="V78" s="45"/>
      <c r="W78" s="45"/>
      <c r="X78" s="45"/>
      <c r="Y78" s="49"/>
      <c r="Z78" s="45"/>
      <c r="AA78" s="45"/>
      <c r="AB78" s="45"/>
      <c r="AC78" s="49"/>
      <c r="AD78" s="45"/>
      <c r="AE78" s="45"/>
      <c r="AF78" s="45"/>
      <c r="AG78" s="49"/>
      <c r="AH78" s="49"/>
      <c r="AI78" s="49"/>
      <c r="AJ78" s="49"/>
      <c r="AK78" s="49"/>
      <c r="AL78" s="203"/>
      <c r="AM78" s="204"/>
      <c r="AN78" s="204"/>
      <c r="AO78" s="205"/>
      <c r="AP78" s="49"/>
      <c r="AQ78" s="49"/>
    </row>
    <row r="79" spans="1:45" s="123" customFormat="1" ht="60.75" customHeight="1" x14ac:dyDescent="0.25">
      <c r="A79" s="114"/>
      <c r="B79" s="186"/>
      <c r="C79" s="255">
        <f>F79</f>
        <v>636.76800000000003</v>
      </c>
      <c r="D79" s="255">
        <v>99</v>
      </c>
      <c r="E79" s="255">
        <f>B81*1/100</f>
        <v>6.4320000000000004</v>
      </c>
      <c r="F79" s="255">
        <f>B81*99/100</f>
        <v>636.76800000000003</v>
      </c>
      <c r="G79" s="255">
        <f>F79/C101*100</f>
        <v>2.0673486965925671</v>
      </c>
      <c r="H79" s="255">
        <f>E79</f>
        <v>6.4320000000000004</v>
      </c>
      <c r="I79" s="255">
        <v>0</v>
      </c>
      <c r="J79" s="255">
        <v>0</v>
      </c>
      <c r="K79" s="255">
        <v>0</v>
      </c>
      <c r="L79" s="290" t="s">
        <v>242</v>
      </c>
      <c r="M79" s="114"/>
      <c r="N79" s="114"/>
      <c r="O79" s="114"/>
      <c r="P79" s="41"/>
      <c r="Q79" s="124"/>
      <c r="R79" s="116"/>
      <c r="S79" s="116"/>
      <c r="T79" s="33"/>
      <c r="U79" s="121"/>
      <c r="V79" s="118" t="s">
        <v>65</v>
      </c>
      <c r="W79" s="118">
        <v>101.1</v>
      </c>
      <c r="X79" s="25">
        <f>W79*4</f>
        <v>404.4</v>
      </c>
      <c r="Y79" s="121"/>
      <c r="Z79" s="118"/>
      <c r="AA79" s="118"/>
      <c r="AB79" s="25"/>
      <c r="AC79" s="121"/>
      <c r="AD79" s="118"/>
      <c r="AE79" s="118"/>
      <c r="AF79" s="25"/>
      <c r="AG79" s="121"/>
      <c r="AH79" s="121"/>
      <c r="AI79" s="121"/>
      <c r="AJ79" s="29"/>
      <c r="AK79" s="121"/>
      <c r="AL79" s="122"/>
      <c r="AM79" s="156"/>
      <c r="AN79" s="79"/>
      <c r="AO79" s="157"/>
      <c r="AP79" s="121"/>
      <c r="AQ79" s="121"/>
      <c r="AR79" s="123">
        <f t="shared" si="0"/>
        <v>404.4</v>
      </c>
      <c r="AS79" s="123">
        <f>AR79+AR80+AR81</f>
        <v>643.20000000000005</v>
      </c>
    </row>
    <row r="80" spans="1:45" s="123" customFormat="1" ht="60.75" customHeight="1" x14ac:dyDescent="0.25">
      <c r="A80" s="114"/>
      <c r="B80" s="186"/>
      <c r="C80" s="256"/>
      <c r="D80" s="256"/>
      <c r="E80" s="256"/>
      <c r="F80" s="256"/>
      <c r="G80" s="256"/>
      <c r="H80" s="256"/>
      <c r="I80" s="256"/>
      <c r="J80" s="256"/>
      <c r="K80" s="256"/>
      <c r="L80" s="291"/>
      <c r="M80" s="114"/>
      <c r="N80" s="114"/>
      <c r="O80" s="114"/>
      <c r="P80" s="41"/>
      <c r="Q80" s="124"/>
      <c r="R80" s="116"/>
      <c r="S80" s="116"/>
      <c r="T80" s="33"/>
      <c r="U80" s="121"/>
      <c r="V80" s="118" t="s">
        <v>67</v>
      </c>
      <c r="W80" s="118">
        <v>211.6</v>
      </c>
      <c r="X80" s="25">
        <f>W80*1</f>
        <v>211.6</v>
      </c>
      <c r="Y80" s="121"/>
      <c r="Z80" s="118"/>
      <c r="AA80" s="118"/>
      <c r="AB80" s="25"/>
      <c r="AC80" s="121"/>
      <c r="AD80" s="118"/>
      <c r="AE80" s="118"/>
      <c r="AF80" s="25"/>
      <c r="AG80" s="121"/>
      <c r="AH80" s="121"/>
      <c r="AI80" s="121"/>
      <c r="AJ80" s="29"/>
      <c r="AK80" s="121"/>
      <c r="AL80" s="158"/>
      <c r="AM80" s="121"/>
      <c r="AN80" s="29"/>
      <c r="AO80" s="121"/>
      <c r="AP80" s="135"/>
      <c r="AQ80" s="121"/>
      <c r="AR80" s="123">
        <f t="shared" si="0"/>
        <v>211.6</v>
      </c>
    </row>
    <row r="81" spans="1:45" s="123" customFormat="1" ht="60.75" customHeight="1" x14ac:dyDescent="0.25">
      <c r="A81" s="114"/>
      <c r="B81" s="186">
        <v>643.20000000000005</v>
      </c>
      <c r="C81" s="257"/>
      <c r="D81" s="257"/>
      <c r="E81" s="257"/>
      <c r="F81" s="257"/>
      <c r="G81" s="257"/>
      <c r="H81" s="257"/>
      <c r="I81" s="257"/>
      <c r="J81" s="257"/>
      <c r="K81" s="257"/>
      <c r="L81" s="292"/>
      <c r="M81" s="114"/>
      <c r="N81" s="114"/>
      <c r="O81" s="114"/>
      <c r="P81" s="41"/>
      <c r="Q81" s="124"/>
      <c r="R81" s="116"/>
      <c r="S81" s="116"/>
      <c r="T81" s="33"/>
      <c r="U81" s="121"/>
      <c r="V81" s="118" t="s">
        <v>68</v>
      </c>
      <c r="W81" s="118">
        <v>13.6</v>
      </c>
      <c r="X81" s="25">
        <f>W81*2</f>
        <v>27.2</v>
      </c>
      <c r="Y81" s="121"/>
      <c r="Z81" s="118"/>
      <c r="AA81" s="118"/>
      <c r="AB81" s="25"/>
      <c r="AC81" s="121"/>
      <c r="AD81" s="118"/>
      <c r="AE81" s="118"/>
      <c r="AF81" s="25"/>
      <c r="AG81" s="121"/>
      <c r="AH81" s="121"/>
      <c r="AI81" s="121"/>
      <c r="AJ81" s="29"/>
      <c r="AK81" s="121"/>
      <c r="AL81" s="158"/>
      <c r="AM81" s="121"/>
      <c r="AN81" s="29"/>
      <c r="AO81" s="121"/>
      <c r="AP81" s="135"/>
      <c r="AQ81" s="121"/>
      <c r="AR81" s="123">
        <f t="shared" si="0"/>
        <v>27.2</v>
      </c>
    </row>
    <row r="82" spans="1:45" s="28" customFormat="1" ht="60.75" hidden="1" customHeight="1" x14ac:dyDescent="0.25">
      <c r="A82" s="44"/>
      <c r="B82" s="186">
        <f>P82+T82+X82+AB82+AF82+AN82</f>
        <v>643.20000000000005</v>
      </c>
      <c r="C82" s="186"/>
      <c r="D82" s="186"/>
      <c r="E82" s="186"/>
      <c r="F82" s="186"/>
      <c r="G82" s="186"/>
      <c r="H82" s="186"/>
      <c r="I82" s="186"/>
      <c r="J82" s="186"/>
      <c r="K82" s="186"/>
      <c r="L82" s="232"/>
      <c r="M82" s="44"/>
      <c r="N82" s="44"/>
      <c r="O82" s="44"/>
      <c r="P82" s="41"/>
      <c r="Q82" s="179"/>
      <c r="R82" s="33"/>
      <c r="S82" s="33"/>
      <c r="T82" s="33"/>
      <c r="U82" s="29"/>
      <c r="V82" s="25"/>
      <c r="W82" s="25"/>
      <c r="X82" s="25">
        <f>SUM(X79:X81)</f>
        <v>643.20000000000005</v>
      </c>
      <c r="Y82" s="29"/>
      <c r="Z82" s="25"/>
      <c r="AA82" s="25"/>
      <c r="AB82" s="25"/>
      <c r="AC82" s="29"/>
      <c r="AD82" s="25"/>
      <c r="AE82" s="25"/>
      <c r="AF82" s="25"/>
      <c r="AG82" s="29"/>
      <c r="AH82" s="29"/>
      <c r="AI82" s="29"/>
      <c r="AJ82" s="29"/>
      <c r="AK82" s="29"/>
      <c r="AL82" s="206"/>
      <c r="AM82" s="29"/>
      <c r="AN82" s="29"/>
      <c r="AO82" s="29"/>
      <c r="AP82" s="207"/>
      <c r="AQ82" s="29"/>
    </row>
    <row r="83" spans="1:45" s="38" customFormat="1" ht="60.75" customHeight="1" x14ac:dyDescent="0.25">
      <c r="A83" s="30"/>
      <c r="B83" s="186"/>
      <c r="C83" s="258">
        <f>F83</f>
        <v>2770.8119999999999</v>
      </c>
      <c r="D83" s="258">
        <v>99</v>
      </c>
      <c r="E83" s="258">
        <f>B84*1/100</f>
        <v>27.988000000000003</v>
      </c>
      <c r="F83" s="258">
        <f>B84*99/100</f>
        <v>2770.8119999999999</v>
      </c>
      <c r="G83" s="258">
        <f>F83/C101*100</f>
        <v>8.9957952923247451</v>
      </c>
      <c r="H83" s="258">
        <f>E83</f>
        <v>27.988000000000003</v>
      </c>
      <c r="I83" s="258">
        <v>0</v>
      </c>
      <c r="J83" s="258">
        <v>0</v>
      </c>
      <c r="K83" s="258">
        <v>0</v>
      </c>
      <c r="L83" s="293" t="s">
        <v>243</v>
      </c>
      <c r="M83" s="30"/>
      <c r="N83" s="30"/>
      <c r="O83" s="30"/>
      <c r="P83" s="41"/>
      <c r="Q83" s="46"/>
      <c r="R83" s="32"/>
      <c r="S83" s="32"/>
      <c r="T83" s="33"/>
      <c r="U83" s="35"/>
      <c r="V83" s="34"/>
      <c r="W83" s="34"/>
      <c r="X83" s="25"/>
      <c r="Y83" s="35"/>
      <c r="Z83" s="34"/>
      <c r="AA83" s="34"/>
      <c r="AB83" s="25"/>
      <c r="AC83" s="35"/>
      <c r="AD83" s="34"/>
      <c r="AE83" s="34"/>
      <c r="AF83" s="25"/>
      <c r="AG83" s="35"/>
      <c r="AH83" s="34" t="s">
        <v>69</v>
      </c>
      <c r="AI83" s="34">
        <v>185.5</v>
      </c>
      <c r="AJ83" s="25">
        <f>AI83*13</f>
        <v>2411.5</v>
      </c>
      <c r="AK83" s="35"/>
      <c r="AL83" s="88"/>
      <c r="AM83" s="35"/>
      <c r="AN83" s="29"/>
      <c r="AO83" s="35"/>
      <c r="AP83" s="89"/>
      <c r="AQ83" s="35"/>
      <c r="AR83" s="28">
        <f t="shared" si="0"/>
        <v>2411.5</v>
      </c>
      <c r="AS83" s="38">
        <f>AR83+AR84</f>
        <v>2798.8</v>
      </c>
    </row>
    <row r="84" spans="1:45" s="38" customFormat="1" ht="60.75" customHeight="1" x14ac:dyDescent="0.25">
      <c r="A84" s="30"/>
      <c r="B84" s="186">
        <v>2798.8</v>
      </c>
      <c r="C84" s="259"/>
      <c r="D84" s="259"/>
      <c r="E84" s="259"/>
      <c r="F84" s="259"/>
      <c r="G84" s="259"/>
      <c r="H84" s="259"/>
      <c r="I84" s="259"/>
      <c r="J84" s="259"/>
      <c r="K84" s="259"/>
      <c r="L84" s="294"/>
      <c r="M84" s="30"/>
      <c r="N84" s="30"/>
      <c r="O84" s="30"/>
      <c r="P84" s="41"/>
      <c r="Q84" s="46"/>
      <c r="R84" s="32"/>
      <c r="S84" s="32"/>
      <c r="T84" s="33"/>
      <c r="U84" s="35"/>
      <c r="V84" s="34"/>
      <c r="W84" s="34"/>
      <c r="X84" s="25"/>
      <c r="Y84" s="35"/>
      <c r="Z84" s="34"/>
      <c r="AA84" s="34"/>
      <c r="AB84" s="25"/>
      <c r="AC84" s="35"/>
      <c r="AD84" s="36"/>
      <c r="AE84" s="34"/>
      <c r="AF84" s="25"/>
      <c r="AG84" s="35"/>
      <c r="AH84" s="34" t="s">
        <v>59</v>
      </c>
      <c r="AI84" s="34">
        <v>129.1</v>
      </c>
      <c r="AJ84" s="25">
        <f>AI84*3</f>
        <v>387.29999999999995</v>
      </c>
      <c r="AK84" s="35"/>
      <c r="AL84" s="88"/>
      <c r="AM84" s="35"/>
      <c r="AN84" s="29"/>
      <c r="AO84" s="35"/>
      <c r="AP84" s="89"/>
      <c r="AQ84" s="35"/>
      <c r="AR84" s="28">
        <f t="shared" si="0"/>
        <v>387.29999999999995</v>
      </c>
    </row>
    <row r="85" spans="1:45" s="28" customFormat="1" ht="60.75" hidden="1" customHeight="1" x14ac:dyDescent="0.25">
      <c r="A85" s="44"/>
      <c r="B85" s="186">
        <f>P85+T85+X85+AB85+AF85+AJ85+AN85</f>
        <v>2798.8</v>
      </c>
      <c r="C85" s="186"/>
      <c r="D85" s="186"/>
      <c r="E85" s="186"/>
      <c r="F85" s="186"/>
      <c r="G85" s="186"/>
      <c r="H85" s="186"/>
      <c r="I85" s="186"/>
      <c r="J85" s="186"/>
      <c r="K85" s="186"/>
      <c r="L85" s="57"/>
      <c r="M85" s="44"/>
      <c r="N85" s="44"/>
      <c r="O85" s="44"/>
      <c r="P85" s="41"/>
      <c r="Q85" s="179"/>
      <c r="R85" s="33"/>
      <c r="S85" s="33"/>
      <c r="T85" s="33"/>
      <c r="U85" s="29"/>
      <c r="V85" s="25"/>
      <c r="W85" s="25"/>
      <c r="X85" s="25"/>
      <c r="Y85" s="29"/>
      <c r="Z85" s="172"/>
      <c r="AA85" s="45"/>
      <c r="AB85" s="45"/>
      <c r="AC85" s="49"/>
      <c r="AD85" s="27"/>
      <c r="AE85" s="25"/>
      <c r="AF85" s="25"/>
      <c r="AG85" s="29"/>
      <c r="AH85" s="25"/>
      <c r="AI85" s="25"/>
      <c r="AJ85" s="25">
        <f>SUM(AJ83:AJ84)</f>
        <v>2798.8</v>
      </c>
      <c r="AK85" s="29"/>
      <c r="AL85" s="206"/>
      <c r="AM85" s="29"/>
      <c r="AN85" s="29"/>
      <c r="AO85" s="29"/>
      <c r="AP85" s="207"/>
      <c r="AQ85" s="29"/>
    </row>
    <row r="86" spans="1:45" s="123" customFormat="1" ht="39" customHeight="1" x14ac:dyDescent="0.25">
      <c r="A86" s="114"/>
      <c r="B86" s="186"/>
      <c r="C86" s="255">
        <f>F86</f>
        <v>7019.5751999999993</v>
      </c>
      <c r="D86" s="255">
        <v>99</v>
      </c>
      <c r="E86" s="255">
        <f>B99*1/100</f>
        <v>70.904799999999994</v>
      </c>
      <c r="F86" s="255">
        <f>B99*99/100</f>
        <v>7019.5751999999993</v>
      </c>
      <c r="G86" s="255">
        <f>F86/C101*100</f>
        <v>22.789948050708428</v>
      </c>
      <c r="H86" s="255">
        <f>E86</f>
        <v>70.904799999999994</v>
      </c>
      <c r="I86" s="255">
        <v>0</v>
      </c>
      <c r="J86" s="255">
        <v>0</v>
      </c>
      <c r="K86" s="255">
        <v>0</v>
      </c>
      <c r="L86" s="283" t="s">
        <v>244</v>
      </c>
      <c r="M86" s="114"/>
      <c r="N86" s="114"/>
      <c r="O86" s="114"/>
      <c r="P86" s="41"/>
      <c r="Q86" s="124"/>
      <c r="R86" s="116"/>
      <c r="S86" s="116"/>
      <c r="T86" s="33"/>
      <c r="U86" s="116" t="s">
        <v>144</v>
      </c>
      <c r="V86" s="116" t="s">
        <v>116</v>
      </c>
      <c r="W86" s="118">
        <v>11.6</v>
      </c>
      <c r="X86" s="25">
        <f>W86*3</f>
        <v>34.799999999999997</v>
      </c>
      <c r="Y86" s="121"/>
      <c r="Z86" s="127"/>
      <c r="AA86" s="128"/>
      <c r="AB86" s="26"/>
      <c r="AC86" s="134"/>
      <c r="AD86" s="120"/>
      <c r="AE86" s="120"/>
      <c r="AF86" s="27"/>
      <c r="AG86" s="121"/>
      <c r="AH86" s="114"/>
      <c r="AI86" s="114"/>
      <c r="AJ86" s="44"/>
      <c r="AK86" s="116" t="s">
        <v>145</v>
      </c>
      <c r="AL86" s="116" t="s">
        <v>118</v>
      </c>
      <c r="AM86" s="116">
        <v>7.9</v>
      </c>
      <c r="AN86" s="33">
        <f>AM86*2</f>
        <v>15.8</v>
      </c>
      <c r="AO86" s="121"/>
      <c r="AP86" s="121"/>
      <c r="AQ86" s="121"/>
      <c r="AR86" s="123">
        <f t="shared" si="0"/>
        <v>50.599999999999994</v>
      </c>
      <c r="AS86" s="123" t="e">
        <f>AR86+AR87+AR88+AR89+AR90+AR91+#REF!+AR92+AR93+AR94+AR95+AR96+AR97+AR98+AR99</f>
        <v>#REF!</v>
      </c>
    </row>
    <row r="87" spans="1:45" s="123" customFormat="1" ht="27" customHeight="1" x14ac:dyDescent="0.25">
      <c r="A87" s="114"/>
      <c r="B87" s="186"/>
      <c r="C87" s="256"/>
      <c r="D87" s="256"/>
      <c r="E87" s="256"/>
      <c r="F87" s="256"/>
      <c r="G87" s="256"/>
      <c r="H87" s="256"/>
      <c r="I87" s="256"/>
      <c r="J87" s="256"/>
      <c r="K87" s="256"/>
      <c r="L87" s="284"/>
      <c r="M87" s="114"/>
      <c r="N87" s="114"/>
      <c r="O87" s="114"/>
      <c r="P87" s="23"/>
      <c r="Q87" s="159"/>
      <c r="R87" s="116"/>
      <c r="S87" s="116"/>
      <c r="T87" s="24"/>
      <c r="U87" s="126"/>
      <c r="V87" s="116"/>
      <c r="W87" s="118"/>
      <c r="X87" s="25"/>
      <c r="Y87" s="121"/>
      <c r="Z87" s="127"/>
      <c r="AA87" s="128"/>
      <c r="AB87" s="26"/>
      <c r="AC87" s="134"/>
      <c r="AD87" s="120"/>
      <c r="AE87" s="120"/>
      <c r="AF87" s="27"/>
      <c r="AG87" s="121"/>
      <c r="AH87" s="116"/>
      <c r="AI87" s="116"/>
      <c r="AJ87" s="33"/>
      <c r="AK87" s="116" t="s">
        <v>146</v>
      </c>
      <c r="AL87" s="116" t="s">
        <v>117</v>
      </c>
      <c r="AM87" s="116">
        <v>516.70000000000005</v>
      </c>
      <c r="AN87" s="33">
        <f>AM87*4</f>
        <v>2066.8000000000002</v>
      </c>
      <c r="AO87" s="121"/>
      <c r="AP87" s="121"/>
      <c r="AQ87" s="121"/>
      <c r="AR87" s="123">
        <f t="shared" si="0"/>
        <v>2066.8000000000002</v>
      </c>
    </row>
    <row r="88" spans="1:45" s="123" customFormat="1" ht="24.6" customHeight="1" x14ac:dyDescent="0.25">
      <c r="A88" s="114"/>
      <c r="B88" s="186"/>
      <c r="C88" s="256"/>
      <c r="D88" s="256"/>
      <c r="E88" s="256"/>
      <c r="F88" s="256"/>
      <c r="G88" s="256"/>
      <c r="H88" s="256"/>
      <c r="I88" s="256"/>
      <c r="J88" s="256"/>
      <c r="K88" s="256"/>
      <c r="L88" s="284"/>
      <c r="M88" s="114"/>
      <c r="N88" s="114"/>
      <c r="O88" s="114"/>
      <c r="P88" s="23"/>
      <c r="Q88" s="159"/>
      <c r="R88" s="116"/>
      <c r="S88" s="116"/>
      <c r="T88" s="24"/>
      <c r="U88" s="126"/>
      <c r="V88" s="116"/>
      <c r="W88" s="118"/>
      <c r="X88" s="25"/>
      <c r="Y88" s="121"/>
      <c r="Z88" s="127"/>
      <c r="AA88" s="128"/>
      <c r="AB88" s="26"/>
      <c r="AC88" s="134"/>
      <c r="AD88" s="120"/>
      <c r="AE88" s="120"/>
      <c r="AF88" s="27"/>
      <c r="AG88" s="121"/>
      <c r="AH88" s="116"/>
      <c r="AI88" s="116"/>
      <c r="AJ88" s="33"/>
      <c r="AK88" s="116"/>
      <c r="AL88" s="116" t="s">
        <v>119</v>
      </c>
      <c r="AM88" s="116">
        <v>11.5</v>
      </c>
      <c r="AN88" s="33">
        <f>AM88*1</f>
        <v>11.5</v>
      </c>
      <c r="AO88" s="121"/>
      <c r="AP88" s="121"/>
      <c r="AQ88" s="121"/>
      <c r="AR88" s="123">
        <f t="shared" si="0"/>
        <v>11.5</v>
      </c>
    </row>
    <row r="89" spans="1:45" s="123" customFormat="1" ht="19.899999999999999" customHeight="1" x14ac:dyDescent="0.25">
      <c r="A89" s="114"/>
      <c r="B89" s="186"/>
      <c r="C89" s="256"/>
      <c r="D89" s="256"/>
      <c r="E89" s="256"/>
      <c r="F89" s="256"/>
      <c r="G89" s="256"/>
      <c r="H89" s="256"/>
      <c r="I89" s="256"/>
      <c r="J89" s="256"/>
      <c r="K89" s="256"/>
      <c r="L89" s="284"/>
      <c r="M89" s="114"/>
      <c r="N89" s="114"/>
      <c r="O89" s="114"/>
      <c r="P89" s="23"/>
      <c r="Q89" s="159"/>
      <c r="R89" s="116"/>
      <c r="S89" s="116"/>
      <c r="T89" s="24"/>
      <c r="U89" s="126"/>
      <c r="V89" s="116"/>
      <c r="W89" s="118"/>
      <c r="X89" s="25"/>
      <c r="Y89" s="121"/>
      <c r="Z89" s="127"/>
      <c r="AA89" s="128"/>
      <c r="AB89" s="26"/>
      <c r="AC89" s="134"/>
      <c r="AD89" s="120"/>
      <c r="AE89" s="120"/>
      <c r="AF89" s="27"/>
      <c r="AG89" s="121"/>
      <c r="AH89" s="116"/>
      <c r="AI89" s="116"/>
      <c r="AJ89" s="33"/>
      <c r="AK89" s="116"/>
      <c r="AL89" s="116" t="s">
        <v>120</v>
      </c>
      <c r="AM89" s="116">
        <v>13.9</v>
      </c>
      <c r="AN89" s="33">
        <f>AM89*1</f>
        <v>13.9</v>
      </c>
      <c r="AO89" s="121"/>
      <c r="AP89" s="121"/>
      <c r="AQ89" s="121"/>
      <c r="AR89" s="123">
        <f t="shared" si="0"/>
        <v>13.9</v>
      </c>
    </row>
    <row r="90" spans="1:45" s="123" customFormat="1" ht="19.899999999999999" customHeight="1" x14ac:dyDescent="0.25">
      <c r="A90" s="114"/>
      <c r="B90" s="186"/>
      <c r="C90" s="256"/>
      <c r="D90" s="256"/>
      <c r="E90" s="256"/>
      <c r="F90" s="256"/>
      <c r="G90" s="256"/>
      <c r="H90" s="256"/>
      <c r="I90" s="256"/>
      <c r="J90" s="256"/>
      <c r="K90" s="256"/>
      <c r="L90" s="284"/>
      <c r="M90" s="114"/>
      <c r="N90" s="114"/>
      <c r="O90" s="114"/>
      <c r="P90" s="23"/>
      <c r="Q90" s="159"/>
      <c r="R90" s="116"/>
      <c r="S90" s="116"/>
      <c r="T90" s="24"/>
      <c r="U90" s="126"/>
      <c r="V90" s="116"/>
      <c r="W90" s="118"/>
      <c r="X90" s="25"/>
      <c r="Y90" s="121"/>
      <c r="Z90" s="127"/>
      <c r="AA90" s="128"/>
      <c r="AB90" s="26"/>
      <c r="AC90" s="134"/>
      <c r="AD90" s="120"/>
      <c r="AE90" s="120"/>
      <c r="AF90" s="27"/>
      <c r="AG90" s="121"/>
      <c r="AH90" s="116"/>
      <c r="AI90" s="116"/>
      <c r="AJ90" s="33"/>
      <c r="AK90" s="116"/>
      <c r="AL90" s="116" t="s">
        <v>121</v>
      </c>
      <c r="AM90" s="116">
        <v>4.8</v>
      </c>
      <c r="AN90" s="33">
        <f>AM90*1</f>
        <v>4.8</v>
      </c>
      <c r="AO90" s="121"/>
      <c r="AP90" s="121"/>
      <c r="AQ90" s="121"/>
      <c r="AR90" s="123">
        <f t="shared" si="0"/>
        <v>4.8</v>
      </c>
    </row>
    <row r="91" spans="1:45" s="123" customFormat="1" ht="22.15" customHeight="1" x14ac:dyDescent="0.25">
      <c r="A91" s="114"/>
      <c r="B91" s="186"/>
      <c r="C91" s="256"/>
      <c r="D91" s="256"/>
      <c r="E91" s="256"/>
      <c r="F91" s="256"/>
      <c r="G91" s="256"/>
      <c r="H91" s="256"/>
      <c r="I91" s="256"/>
      <c r="J91" s="256"/>
      <c r="K91" s="256"/>
      <c r="L91" s="284"/>
      <c r="M91" s="114"/>
      <c r="N91" s="114"/>
      <c r="O91" s="114"/>
      <c r="P91" s="23"/>
      <c r="Q91" s="159"/>
      <c r="R91" s="116"/>
      <c r="S91" s="116"/>
      <c r="T91" s="24"/>
      <c r="U91" s="126"/>
      <c r="V91" s="116"/>
      <c r="W91" s="118"/>
      <c r="X91" s="25"/>
      <c r="Y91" s="121"/>
      <c r="Z91" s="127"/>
      <c r="AA91" s="128"/>
      <c r="AB91" s="26"/>
      <c r="AC91" s="134"/>
      <c r="AD91" s="120"/>
      <c r="AE91" s="120"/>
      <c r="AF91" s="27"/>
      <c r="AG91" s="121"/>
      <c r="AH91" s="116"/>
      <c r="AI91" s="116"/>
      <c r="AJ91" s="33"/>
      <c r="AK91" s="116"/>
      <c r="AL91" s="116" t="s">
        <v>122</v>
      </c>
      <c r="AM91" s="116">
        <v>3.4</v>
      </c>
      <c r="AN91" s="33">
        <f>AM91*2</f>
        <v>6.8</v>
      </c>
      <c r="AO91" s="121"/>
      <c r="AP91" s="121"/>
      <c r="AQ91" s="121"/>
      <c r="AR91" s="123">
        <f t="shared" si="0"/>
        <v>6.8</v>
      </c>
    </row>
    <row r="92" spans="1:45" s="123" customFormat="1" ht="22.15" customHeight="1" x14ac:dyDescent="0.25">
      <c r="A92" s="114"/>
      <c r="B92" s="186"/>
      <c r="C92" s="256"/>
      <c r="D92" s="256"/>
      <c r="E92" s="256"/>
      <c r="F92" s="256"/>
      <c r="G92" s="256"/>
      <c r="H92" s="256"/>
      <c r="I92" s="256"/>
      <c r="J92" s="256"/>
      <c r="K92" s="256"/>
      <c r="L92" s="284"/>
      <c r="M92" s="114"/>
      <c r="N92" s="114"/>
      <c r="O92" s="114"/>
      <c r="P92" s="23"/>
      <c r="Q92" s="159"/>
      <c r="R92" s="116"/>
      <c r="S92" s="116"/>
      <c r="T92" s="24"/>
      <c r="U92" s="126"/>
      <c r="V92" s="116"/>
      <c r="W92" s="118"/>
      <c r="X92" s="25"/>
      <c r="Y92" s="121"/>
      <c r="Z92" s="127"/>
      <c r="AA92" s="128"/>
      <c r="AB92" s="26"/>
      <c r="AC92" s="134"/>
      <c r="AD92" s="120"/>
      <c r="AE92" s="120"/>
      <c r="AF92" s="27"/>
      <c r="AG92" s="121"/>
      <c r="AH92" s="116"/>
      <c r="AI92" s="116"/>
      <c r="AJ92" s="33"/>
      <c r="AK92" s="116"/>
      <c r="AL92" s="116" t="s">
        <v>74</v>
      </c>
      <c r="AM92" s="116">
        <v>23.8</v>
      </c>
      <c r="AN92" s="90">
        <f>AM92*1</f>
        <v>23.8</v>
      </c>
      <c r="AO92" s="121"/>
      <c r="AP92" s="121"/>
      <c r="AQ92" s="121"/>
      <c r="AR92" s="123">
        <f t="shared" si="0"/>
        <v>23.8</v>
      </c>
    </row>
    <row r="93" spans="1:45" s="123" customFormat="1" ht="19.899999999999999" customHeight="1" x14ac:dyDescent="0.25">
      <c r="A93" s="114"/>
      <c r="B93" s="186"/>
      <c r="C93" s="256"/>
      <c r="D93" s="256"/>
      <c r="E93" s="256"/>
      <c r="F93" s="256"/>
      <c r="G93" s="256"/>
      <c r="H93" s="256"/>
      <c r="I93" s="256"/>
      <c r="J93" s="256"/>
      <c r="K93" s="256"/>
      <c r="L93" s="284"/>
      <c r="M93" s="114"/>
      <c r="N93" s="114"/>
      <c r="O93" s="114"/>
      <c r="P93" s="23"/>
      <c r="Q93" s="159"/>
      <c r="R93" s="116"/>
      <c r="S93" s="116"/>
      <c r="T93" s="24"/>
      <c r="U93" s="126"/>
      <c r="V93" s="116"/>
      <c r="W93" s="118"/>
      <c r="X93" s="25"/>
      <c r="Y93" s="121"/>
      <c r="Z93" s="127"/>
      <c r="AA93" s="128"/>
      <c r="AB93" s="26"/>
      <c r="AC93" s="134"/>
      <c r="AD93" s="120"/>
      <c r="AE93" s="120"/>
      <c r="AF93" s="27"/>
      <c r="AG93" s="121"/>
      <c r="AH93" s="116"/>
      <c r="AI93" s="116"/>
      <c r="AJ93" s="33"/>
      <c r="AK93" s="116" t="s">
        <v>123</v>
      </c>
      <c r="AL93" s="116" t="s">
        <v>123</v>
      </c>
      <c r="AM93" s="116">
        <v>79.099999999999994</v>
      </c>
      <c r="AN93" s="90">
        <f>AM93*2</f>
        <v>158.19999999999999</v>
      </c>
      <c r="AO93" s="121"/>
      <c r="AP93" s="121"/>
      <c r="AQ93" s="121"/>
      <c r="AR93" s="123">
        <f t="shared" si="0"/>
        <v>158.19999999999999</v>
      </c>
    </row>
    <row r="94" spans="1:45" s="123" customFormat="1" ht="19.899999999999999" customHeight="1" x14ac:dyDescent="0.25">
      <c r="A94" s="114"/>
      <c r="B94" s="186"/>
      <c r="C94" s="256"/>
      <c r="D94" s="256"/>
      <c r="E94" s="256"/>
      <c r="F94" s="256"/>
      <c r="G94" s="256"/>
      <c r="H94" s="256"/>
      <c r="I94" s="256"/>
      <c r="J94" s="256"/>
      <c r="K94" s="256"/>
      <c r="L94" s="284"/>
      <c r="M94" s="114"/>
      <c r="N94" s="114"/>
      <c r="O94" s="114"/>
      <c r="P94" s="23"/>
      <c r="Q94" s="159"/>
      <c r="R94" s="116"/>
      <c r="S94" s="116"/>
      <c r="T94" s="24"/>
      <c r="U94" s="126"/>
      <c r="V94" s="116"/>
      <c r="W94" s="118"/>
      <c r="X94" s="25"/>
      <c r="Y94" s="121"/>
      <c r="Z94" s="127"/>
      <c r="AA94" s="128"/>
      <c r="AB94" s="26"/>
      <c r="AC94" s="134"/>
      <c r="AD94" s="120"/>
      <c r="AE94" s="120"/>
      <c r="AF94" s="27"/>
      <c r="AG94" s="121"/>
      <c r="AH94" s="116"/>
      <c r="AI94" s="116"/>
      <c r="AJ94" s="33"/>
      <c r="AK94" s="160" t="s">
        <v>143</v>
      </c>
      <c r="AL94" s="160" t="s">
        <v>124</v>
      </c>
      <c r="AM94" s="160">
        <v>136</v>
      </c>
      <c r="AN94" s="90">
        <f>AM94*2</f>
        <v>272</v>
      </c>
      <c r="AO94" s="121"/>
      <c r="AP94" s="121"/>
      <c r="AQ94" s="121"/>
      <c r="AR94" s="123">
        <f t="shared" si="0"/>
        <v>272</v>
      </c>
    </row>
    <row r="95" spans="1:45" s="123" customFormat="1" ht="22.15" customHeight="1" x14ac:dyDescent="0.25">
      <c r="A95" s="114"/>
      <c r="B95" s="186"/>
      <c r="C95" s="256"/>
      <c r="D95" s="256"/>
      <c r="E95" s="256"/>
      <c r="F95" s="256"/>
      <c r="G95" s="256"/>
      <c r="H95" s="256"/>
      <c r="I95" s="256"/>
      <c r="J95" s="256"/>
      <c r="K95" s="256"/>
      <c r="L95" s="284"/>
      <c r="M95" s="114"/>
      <c r="N95" s="114"/>
      <c r="O95" s="114"/>
      <c r="P95" s="23"/>
      <c r="Q95" s="159"/>
      <c r="R95" s="116"/>
      <c r="S95" s="116"/>
      <c r="T95" s="24"/>
      <c r="U95" s="126"/>
      <c r="V95" s="116"/>
      <c r="W95" s="118"/>
      <c r="X95" s="25"/>
      <c r="Y95" s="121"/>
      <c r="Z95" s="127"/>
      <c r="AA95" s="128"/>
      <c r="AB95" s="26"/>
      <c r="AC95" s="134"/>
      <c r="AD95" s="120"/>
      <c r="AE95" s="120"/>
      <c r="AF95" s="27"/>
      <c r="AG95" s="121"/>
      <c r="AH95" s="116"/>
      <c r="AI95" s="116"/>
      <c r="AJ95" s="33"/>
      <c r="AK95" s="116" t="s">
        <v>147</v>
      </c>
      <c r="AL95" s="160" t="s">
        <v>125</v>
      </c>
      <c r="AM95" s="160">
        <v>75.7</v>
      </c>
      <c r="AN95" s="90">
        <f>AM95*2</f>
        <v>151.4</v>
      </c>
      <c r="AO95" s="121"/>
      <c r="AP95" s="121"/>
      <c r="AQ95" s="121"/>
      <c r="AR95" s="123">
        <f t="shared" si="0"/>
        <v>151.4</v>
      </c>
    </row>
    <row r="96" spans="1:45" s="123" customFormat="1" ht="34.15" customHeight="1" x14ac:dyDescent="0.25">
      <c r="A96" s="114"/>
      <c r="B96" s="186"/>
      <c r="C96" s="256"/>
      <c r="D96" s="256"/>
      <c r="E96" s="256"/>
      <c r="F96" s="256"/>
      <c r="G96" s="256"/>
      <c r="H96" s="256"/>
      <c r="I96" s="256"/>
      <c r="J96" s="256"/>
      <c r="K96" s="256"/>
      <c r="L96" s="284"/>
      <c r="M96" s="114"/>
      <c r="N96" s="114"/>
      <c r="O96" s="114"/>
      <c r="P96" s="23"/>
      <c r="Q96" s="159"/>
      <c r="R96" s="116"/>
      <c r="S96" s="116"/>
      <c r="T96" s="24"/>
      <c r="U96" s="126"/>
      <c r="V96" s="116"/>
      <c r="W96" s="118"/>
      <c r="X96" s="25"/>
      <c r="Y96" s="121"/>
      <c r="Z96" s="127"/>
      <c r="AA96" s="128"/>
      <c r="AB96" s="26"/>
      <c r="AC96" s="134"/>
      <c r="AD96" s="120"/>
      <c r="AE96" s="120"/>
      <c r="AF96" s="27"/>
      <c r="AG96" s="121"/>
      <c r="AH96" s="116"/>
      <c r="AI96" s="116"/>
      <c r="AJ96" s="33"/>
      <c r="AK96" s="116" t="s">
        <v>144</v>
      </c>
      <c r="AL96" s="116" t="s">
        <v>126</v>
      </c>
      <c r="AM96" s="116">
        <v>373.3</v>
      </c>
      <c r="AN96" s="90">
        <f>AM96*2</f>
        <v>746.6</v>
      </c>
      <c r="AO96" s="121"/>
      <c r="AP96" s="121"/>
      <c r="AQ96" s="121"/>
      <c r="AR96" s="123">
        <f t="shared" si="0"/>
        <v>746.6</v>
      </c>
    </row>
    <row r="97" spans="1:44" s="123" customFormat="1" ht="51" customHeight="1" x14ac:dyDescent="0.25">
      <c r="A97" s="114"/>
      <c r="B97" s="186"/>
      <c r="C97" s="256"/>
      <c r="D97" s="256"/>
      <c r="E97" s="256"/>
      <c r="F97" s="256"/>
      <c r="G97" s="256"/>
      <c r="H97" s="256"/>
      <c r="I97" s="256"/>
      <c r="J97" s="256"/>
      <c r="K97" s="256"/>
      <c r="L97" s="284"/>
      <c r="M97" s="114"/>
      <c r="N97" s="114"/>
      <c r="O97" s="114"/>
      <c r="P97" s="23"/>
      <c r="Q97" s="159"/>
      <c r="R97" s="116"/>
      <c r="S97" s="116"/>
      <c r="T97" s="24"/>
      <c r="U97" s="126"/>
      <c r="V97" s="116"/>
      <c r="W97" s="118"/>
      <c r="X97" s="25"/>
      <c r="Y97" s="121"/>
      <c r="Z97" s="127"/>
      <c r="AA97" s="128"/>
      <c r="AB97" s="26"/>
      <c r="AC97" s="134"/>
      <c r="AD97" s="120"/>
      <c r="AE97" s="120"/>
      <c r="AF97" s="27"/>
      <c r="AG97" s="121"/>
      <c r="AH97" s="116"/>
      <c r="AI97" s="116"/>
      <c r="AJ97" s="33"/>
      <c r="AK97" s="116" t="s">
        <v>148</v>
      </c>
      <c r="AL97" s="116" t="s">
        <v>127</v>
      </c>
      <c r="AM97" s="117">
        <v>52</v>
      </c>
      <c r="AN97" s="90">
        <f>AM97*1</f>
        <v>52</v>
      </c>
      <c r="AO97" s="121"/>
      <c r="AP97" s="121"/>
      <c r="AQ97" s="121"/>
      <c r="AR97" s="123">
        <f t="shared" si="0"/>
        <v>52</v>
      </c>
    </row>
    <row r="98" spans="1:44" s="123" customFormat="1" ht="41.45" customHeight="1" x14ac:dyDescent="0.25">
      <c r="A98" s="114"/>
      <c r="B98" s="186"/>
      <c r="C98" s="256"/>
      <c r="D98" s="256"/>
      <c r="E98" s="256"/>
      <c r="F98" s="256"/>
      <c r="G98" s="256"/>
      <c r="H98" s="256"/>
      <c r="I98" s="256"/>
      <c r="J98" s="256"/>
      <c r="K98" s="256"/>
      <c r="L98" s="284"/>
      <c r="M98" s="114"/>
      <c r="N98" s="114"/>
      <c r="O98" s="114"/>
      <c r="P98" s="23"/>
      <c r="Q98" s="159"/>
      <c r="R98" s="116"/>
      <c r="S98" s="116"/>
      <c r="T98" s="24"/>
      <c r="U98" s="126"/>
      <c r="V98" s="116"/>
      <c r="W98" s="118"/>
      <c r="X98" s="25"/>
      <c r="Y98" s="121"/>
      <c r="Z98" s="127"/>
      <c r="AA98" s="128"/>
      <c r="AB98" s="26"/>
      <c r="AC98" s="134"/>
      <c r="AD98" s="120"/>
      <c r="AE98" s="120"/>
      <c r="AF98" s="27"/>
      <c r="AG98" s="121"/>
      <c r="AH98" s="116"/>
      <c r="AI98" s="116"/>
      <c r="AJ98" s="33"/>
      <c r="AK98" s="116"/>
      <c r="AL98" s="116" t="s">
        <v>75</v>
      </c>
      <c r="AM98" s="116">
        <v>25.7</v>
      </c>
      <c r="AN98" s="90">
        <f>AM98*2</f>
        <v>51.4</v>
      </c>
      <c r="AO98" s="121"/>
      <c r="AP98" s="121"/>
      <c r="AQ98" s="121"/>
      <c r="AR98" s="123">
        <f t="shared" si="0"/>
        <v>51.4</v>
      </c>
    </row>
    <row r="99" spans="1:44" s="123" customFormat="1" ht="380.25" customHeight="1" x14ac:dyDescent="0.25">
      <c r="A99" s="139"/>
      <c r="B99" s="187">
        <v>7090.48</v>
      </c>
      <c r="C99" s="257"/>
      <c r="D99" s="257"/>
      <c r="E99" s="257"/>
      <c r="F99" s="257"/>
      <c r="G99" s="257"/>
      <c r="H99" s="257"/>
      <c r="I99" s="257"/>
      <c r="J99" s="257"/>
      <c r="K99" s="257"/>
      <c r="L99" s="285"/>
      <c r="M99" s="139"/>
      <c r="N99" s="139"/>
      <c r="O99" s="139"/>
      <c r="P99" s="23"/>
      <c r="Q99" s="159"/>
      <c r="R99" s="126"/>
      <c r="S99" s="126"/>
      <c r="T99" s="24"/>
      <c r="U99" s="126"/>
      <c r="V99" s="126"/>
      <c r="W99" s="149"/>
      <c r="X99" s="43"/>
      <c r="Y99" s="157"/>
      <c r="Z99" s="161"/>
      <c r="AA99" s="162"/>
      <c r="AB99" s="169"/>
      <c r="AC99" s="163"/>
      <c r="AD99" s="150"/>
      <c r="AE99" s="150"/>
      <c r="AF99" s="59"/>
      <c r="AG99" s="157"/>
      <c r="AH99" s="126"/>
      <c r="AI99" s="126"/>
      <c r="AJ99" s="24"/>
      <c r="AK99" s="116" t="s">
        <v>149</v>
      </c>
      <c r="AL99" s="116" t="s">
        <v>128</v>
      </c>
      <c r="AM99" s="164" t="s">
        <v>195</v>
      </c>
      <c r="AN99" s="91">
        <v>3480.68</v>
      </c>
      <c r="AO99" s="157"/>
      <c r="AP99" s="157"/>
      <c r="AQ99" s="157"/>
      <c r="AR99" s="123">
        <f t="shared" si="0"/>
        <v>3480.68</v>
      </c>
    </row>
    <row r="100" spans="1:44" s="28" customFormat="1" ht="59.25" hidden="1" customHeight="1" x14ac:dyDescent="0.25">
      <c r="A100" s="31"/>
      <c r="B100" s="210">
        <f>P100+T100+X100+AB100+AF100+AJ100+AN100</f>
        <v>7090.4800000000005</v>
      </c>
      <c r="C100" s="187">
        <f>SUM(C6:C99)</f>
        <v>30493.178099999997</v>
      </c>
      <c r="D100" s="187"/>
      <c r="E100" s="187">
        <f>SUM(E6:E99)</f>
        <v>308.01190000000003</v>
      </c>
      <c r="F100" s="187"/>
      <c r="G100" s="187"/>
      <c r="H100" s="187"/>
      <c r="I100" s="187"/>
      <c r="J100" s="187"/>
      <c r="K100" s="187"/>
      <c r="L100" s="170"/>
      <c r="M100" s="31"/>
      <c r="N100" s="31"/>
      <c r="O100" s="31"/>
      <c r="P100" s="23"/>
      <c r="Q100" s="200"/>
      <c r="R100" s="24"/>
      <c r="S100" s="24"/>
      <c r="T100" s="24"/>
      <c r="U100" s="24"/>
      <c r="V100" s="24"/>
      <c r="W100" s="43"/>
      <c r="X100" s="43">
        <f>SUM(X86:X99)</f>
        <v>34.799999999999997</v>
      </c>
      <c r="Y100" s="77"/>
      <c r="Z100" s="194"/>
      <c r="AA100" s="169"/>
      <c r="AB100" s="169"/>
      <c r="AC100" s="205"/>
      <c r="AD100" s="59"/>
      <c r="AE100" s="59"/>
      <c r="AF100" s="59"/>
      <c r="AG100" s="77"/>
      <c r="AH100" s="24"/>
      <c r="AI100" s="24"/>
      <c r="AJ100" s="24"/>
      <c r="AK100" s="33"/>
      <c r="AL100" s="33"/>
      <c r="AM100" s="91"/>
      <c r="AN100" s="91">
        <f>SUM(AN86:AN99)</f>
        <v>7055.68</v>
      </c>
      <c r="AO100" s="77"/>
      <c r="AP100" s="77"/>
      <c r="AQ100" s="77"/>
    </row>
    <row r="101" spans="1:44" ht="51.75" customHeight="1" x14ac:dyDescent="0.25">
      <c r="A101" s="19"/>
      <c r="B101" s="218">
        <f>B100+B11+B14+B18+B21+B39+B44+B49+B56+B62+B64+B67+B71+B76+B78+B82+B85</f>
        <v>30801.149999999998</v>
      </c>
      <c r="C101" s="218">
        <f>C100+E100</f>
        <v>30801.19</v>
      </c>
      <c r="D101" s="218"/>
      <c r="E101" s="218"/>
      <c r="F101" s="218"/>
      <c r="G101" s="218"/>
      <c r="H101" s="218"/>
      <c r="I101" s="218"/>
      <c r="J101" s="218"/>
      <c r="K101" s="218"/>
      <c r="L101" s="19"/>
      <c r="M101" s="19"/>
      <c r="N101" s="19"/>
      <c r="O101" s="19"/>
      <c r="P101" s="20"/>
      <c r="Q101" s="20"/>
      <c r="R101" s="20"/>
      <c r="S101" s="21">
        <v>7596.8</v>
      </c>
      <c r="T101" s="21">
        <f>SUM(T6:T99)</f>
        <v>13147.18</v>
      </c>
      <c r="U101" s="21"/>
      <c r="V101" s="21"/>
      <c r="W101" s="21">
        <v>17703.391</v>
      </c>
      <c r="X101" s="21">
        <f t="shared" ref="X101" si="26">SUM(X6:X99)</f>
        <v>9722.3819999999996</v>
      </c>
      <c r="Y101" s="21"/>
      <c r="Z101" s="21"/>
      <c r="AA101" s="21">
        <v>2741.8969999999999</v>
      </c>
      <c r="AB101" s="21">
        <f t="shared" ref="AB101" si="27">SUM(AB6:AB99)</f>
        <v>3343.9939999999997</v>
      </c>
      <c r="AC101" s="21"/>
      <c r="AD101" s="21"/>
      <c r="AE101" s="21">
        <v>17332.099999999999</v>
      </c>
      <c r="AF101" s="21">
        <f t="shared" ref="AF101" si="28">SUM(AF6:AF99)</f>
        <v>9500.7839999999978</v>
      </c>
      <c r="AG101" s="21"/>
      <c r="AH101" s="21"/>
      <c r="AI101" s="21">
        <v>9170.4</v>
      </c>
      <c r="AJ101" s="21">
        <f t="shared" ref="AJ101" si="29">SUM(AJ6:AJ99)</f>
        <v>7891.2000000000007</v>
      </c>
      <c r="AK101" s="21"/>
      <c r="AL101" s="21"/>
      <c r="AM101" s="21">
        <v>12827.98</v>
      </c>
      <c r="AN101" s="21">
        <f t="shared" ref="AN101" si="30">SUM(AN6:AN99)</f>
        <v>10626.28</v>
      </c>
      <c r="AO101" s="21"/>
      <c r="AP101" s="21"/>
      <c r="AQ101" s="21"/>
      <c r="AR101" s="21">
        <f t="shared" ref="AR101" si="31">SUM(AR6:AR99)</f>
        <v>18928.668000000001</v>
      </c>
    </row>
  </sheetData>
  <mergeCells count="172">
    <mergeCell ref="A6:A10"/>
    <mergeCell ref="L40:L43"/>
    <mergeCell ref="L86:L99"/>
    <mergeCell ref="L6:L10"/>
    <mergeCell ref="L65:L66"/>
    <mergeCell ref="L68:L70"/>
    <mergeCell ref="L72:L75"/>
    <mergeCell ref="L79:L81"/>
    <mergeCell ref="L83:L84"/>
    <mergeCell ref="L45:L48"/>
    <mergeCell ref="L57:L61"/>
    <mergeCell ref="L19:L20"/>
    <mergeCell ref="L12:L13"/>
    <mergeCell ref="L22:L38"/>
    <mergeCell ref="L15:L17"/>
    <mergeCell ref="L50:L55"/>
    <mergeCell ref="G6:G10"/>
    <mergeCell ref="H6:H10"/>
    <mergeCell ref="I6:I10"/>
    <mergeCell ref="J6:J10"/>
    <mergeCell ref="K6:K10"/>
    <mergeCell ref="C6:C10"/>
    <mergeCell ref="D6:D10"/>
    <mergeCell ref="E6:E10"/>
    <mergeCell ref="L2:L4"/>
    <mergeCell ref="M2:O3"/>
    <mergeCell ref="E2:E4"/>
    <mergeCell ref="H2:H4"/>
    <mergeCell ref="K2:K4"/>
    <mergeCell ref="Q2:AQ2"/>
    <mergeCell ref="A1:AQ1"/>
    <mergeCell ref="AO3:AQ3"/>
    <mergeCell ref="Q3:S3"/>
    <mergeCell ref="U3:W3"/>
    <mergeCell ref="Y3:AA3"/>
    <mergeCell ref="AC3:AE3"/>
    <mergeCell ref="AG3:AI3"/>
    <mergeCell ref="AK3:AM3"/>
    <mergeCell ref="A2:A4"/>
    <mergeCell ref="C2:C4"/>
    <mergeCell ref="F2:F4"/>
    <mergeCell ref="G2:G4"/>
    <mergeCell ref="I2:I4"/>
    <mergeCell ref="D2:D4"/>
    <mergeCell ref="J2:J4"/>
    <mergeCell ref="F6:F10"/>
    <mergeCell ref="I12:I13"/>
    <mergeCell ref="J12:J13"/>
    <mergeCell ref="K12:K13"/>
    <mergeCell ref="C12:C13"/>
    <mergeCell ref="F15:F17"/>
    <mergeCell ref="C15:C17"/>
    <mergeCell ref="D15:D17"/>
    <mergeCell ref="E15:E17"/>
    <mergeCell ref="G15:G17"/>
    <mergeCell ref="H15:H17"/>
    <mergeCell ref="I15:I17"/>
    <mergeCell ref="J15:J17"/>
    <mergeCell ref="K15:K17"/>
    <mergeCell ref="D12:D13"/>
    <mergeCell ref="E12:E13"/>
    <mergeCell ref="F12:F13"/>
    <mergeCell ref="G12:G13"/>
    <mergeCell ref="H12:H13"/>
    <mergeCell ref="G22:G38"/>
    <mergeCell ref="H22:H38"/>
    <mergeCell ref="I22:I38"/>
    <mergeCell ref="J22:J38"/>
    <mergeCell ref="K22:K38"/>
    <mergeCell ref="F19:F20"/>
    <mergeCell ref="E19:E20"/>
    <mergeCell ref="C19:C20"/>
    <mergeCell ref="D19:D20"/>
    <mergeCell ref="C22:C38"/>
    <mergeCell ref="D22:D38"/>
    <mergeCell ref="E22:E38"/>
    <mergeCell ref="F22:F38"/>
    <mergeCell ref="I19:I20"/>
    <mergeCell ref="J19:J20"/>
    <mergeCell ref="K19:K20"/>
    <mergeCell ref="H19:H20"/>
    <mergeCell ref="G19:G20"/>
    <mergeCell ref="F40:F43"/>
    <mergeCell ref="E40:E43"/>
    <mergeCell ref="D40:D43"/>
    <mergeCell ref="C40:C43"/>
    <mergeCell ref="K45:K48"/>
    <mergeCell ref="J45:J48"/>
    <mergeCell ref="I45:I48"/>
    <mergeCell ref="H45:H48"/>
    <mergeCell ref="G45:G48"/>
    <mergeCell ref="F45:F48"/>
    <mergeCell ref="E45:E48"/>
    <mergeCell ref="D45:D48"/>
    <mergeCell ref="C45:C48"/>
    <mergeCell ref="K40:K43"/>
    <mergeCell ref="J40:J43"/>
    <mergeCell ref="I40:I43"/>
    <mergeCell ref="H40:H43"/>
    <mergeCell ref="G40:G43"/>
    <mergeCell ref="F50:F55"/>
    <mergeCell ref="D50:D55"/>
    <mergeCell ref="C50:C55"/>
    <mergeCell ref="E50:E55"/>
    <mergeCell ref="K50:K55"/>
    <mergeCell ref="J50:J55"/>
    <mergeCell ref="I50:I55"/>
    <mergeCell ref="H50:H55"/>
    <mergeCell ref="G50:G55"/>
    <mergeCell ref="G65:G66"/>
    <mergeCell ref="H65:H66"/>
    <mergeCell ref="I65:I66"/>
    <mergeCell ref="J65:J66"/>
    <mergeCell ref="K65:K66"/>
    <mergeCell ref="F57:F61"/>
    <mergeCell ref="E57:E61"/>
    <mergeCell ref="D57:D61"/>
    <mergeCell ref="C57:C61"/>
    <mergeCell ref="D65:D66"/>
    <mergeCell ref="C65:C66"/>
    <mergeCell ref="E65:E66"/>
    <mergeCell ref="F65:F66"/>
    <mergeCell ref="K57:K61"/>
    <mergeCell ref="J57:J61"/>
    <mergeCell ref="I57:I61"/>
    <mergeCell ref="H57:H61"/>
    <mergeCell ref="G57:G61"/>
    <mergeCell ref="I68:I70"/>
    <mergeCell ref="J68:J70"/>
    <mergeCell ref="K68:K70"/>
    <mergeCell ref="C68:C70"/>
    <mergeCell ref="D68:D70"/>
    <mergeCell ref="E68:E70"/>
    <mergeCell ref="F68:F70"/>
    <mergeCell ref="G68:G70"/>
    <mergeCell ref="H68:H70"/>
    <mergeCell ref="K72:K75"/>
    <mergeCell ref="J72:J75"/>
    <mergeCell ref="I72:I75"/>
    <mergeCell ref="C72:C75"/>
    <mergeCell ref="D72:D75"/>
    <mergeCell ref="E72:E75"/>
    <mergeCell ref="F72:F75"/>
    <mergeCell ref="G72:G75"/>
    <mergeCell ref="H72:H75"/>
    <mergeCell ref="K79:K81"/>
    <mergeCell ref="C79:C81"/>
    <mergeCell ref="D79:D81"/>
    <mergeCell ref="E79:E81"/>
    <mergeCell ref="F79:F81"/>
    <mergeCell ref="G79:G81"/>
    <mergeCell ref="H79:H81"/>
    <mergeCell ref="I79:I81"/>
    <mergeCell ref="J79:J81"/>
    <mergeCell ref="K83:K84"/>
    <mergeCell ref="C83:C84"/>
    <mergeCell ref="D83:D84"/>
    <mergeCell ref="E83:E84"/>
    <mergeCell ref="F83:F84"/>
    <mergeCell ref="G83:G84"/>
    <mergeCell ref="H83:H84"/>
    <mergeCell ref="I83:I84"/>
    <mergeCell ref="J83:J84"/>
    <mergeCell ref="K86:K99"/>
    <mergeCell ref="C86:C99"/>
    <mergeCell ref="D86:D99"/>
    <mergeCell ref="E86:E99"/>
    <mergeCell ref="F86:F99"/>
    <mergeCell ref="G86:G99"/>
    <mergeCell ref="H86:H99"/>
    <mergeCell ref="I86:I99"/>
    <mergeCell ref="J86:J99"/>
  </mergeCells>
  <pageMargins left="0.11811023622047245" right="0.11811023622047245" top="0.35433070866141736" bottom="0.35433070866141736" header="0.31496062992125984" footer="0.31496062992125984"/>
  <pageSetup paperSize="8" scale="38" orientation="landscape" r:id="rId1"/>
  <rowBreaks count="3" manualBreakCount="3">
    <brk id="24" max="42" man="1"/>
    <brk id="64" max="42" man="1"/>
    <brk id="99" max="42" man="1"/>
  </rowBreaks>
  <colBreaks count="1" manualBreakCount="1">
    <brk id="23" max="9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="75" zoomScaleNormal="90" zoomScaleSheetLayoutView="75" workbookViewId="0">
      <selection activeCell="J6" sqref="J6"/>
    </sheetView>
  </sheetViews>
  <sheetFormatPr defaultRowHeight="15" x14ac:dyDescent="0.25"/>
  <cols>
    <col min="1" max="1" width="13" style="1" customWidth="1"/>
    <col min="2" max="2" width="21.28515625" style="1" customWidth="1"/>
    <col min="3" max="3" width="20.85546875" style="1" customWidth="1"/>
    <col min="4" max="4" width="23.85546875" style="1" customWidth="1"/>
    <col min="5" max="5" width="19.5703125" style="1" customWidth="1"/>
    <col min="6" max="6" width="22.28515625" style="1" customWidth="1"/>
    <col min="7" max="7" width="21.85546875" style="1" customWidth="1"/>
    <col min="8" max="9" width="16.5703125" style="1" customWidth="1"/>
    <col min="10" max="10" width="17.7109375" style="1" customWidth="1"/>
    <col min="11" max="11" width="15.85546875" style="1" customWidth="1"/>
    <col min="12" max="12" width="14" style="1" customWidth="1"/>
    <col min="13" max="13" width="19.85546875" style="1" customWidth="1"/>
  </cols>
  <sheetData>
    <row r="1" spans="1:13" ht="66" customHeight="1" x14ac:dyDescent="0.25">
      <c r="A1" s="315" t="s">
        <v>20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</row>
    <row r="2" spans="1:13" ht="46.5" customHeight="1" x14ac:dyDescent="0.25">
      <c r="A2" s="319" t="s">
        <v>0</v>
      </c>
      <c r="B2" s="304" t="s">
        <v>70</v>
      </c>
      <c r="C2" s="304" t="s">
        <v>158</v>
      </c>
      <c r="D2" s="304" t="s">
        <v>71</v>
      </c>
      <c r="E2" s="304" t="s">
        <v>162</v>
      </c>
      <c r="F2" s="304" t="s">
        <v>163</v>
      </c>
      <c r="G2" s="304" t="s">
        <v>164</v>
      </c>
      <c r="H2" s="311" t="s">
        <v>32</v>
      </c>
      <c r="I2" s="311"/>
      <c r="J2" s="316"/>
      <c r="K2" s="316"/>
      <c r="L2" s="316"/>
      <c r="M2" s="316"/>
    </row>
    <row r="3" spans="1:13" ht="158.25" customHeight="1" x14ac:dyDescent="0.25">
      <c r="A3" s="320"/>
      <c r="B3" s="240"/>
      <c r="C3" s="240"/>
      <c r="D3" s="240"/>
      <c r="E3" s="240"/>
      <c r="F3" s="240"/>
      <c r="G3" s="240"/>
      <c r="H3" s="311" t="s">
        <v>21</v>
      </c>
      <c r="I3" s="311" t="s">
        <v>33</v>
      </c>
      <c r="J3" s="311" t="s">
        <v>2</v>
      </c>
      <c r="K3" s="311" t="s">
        <v>29</v>
      </c>
      <c r="L3" s="311" t="s">
        <v>1</v>
      </c>
      <c r="M3" s="311" t="s">
        <v>31</v>
      </c>
    </row>
    <row r="4" spans="1:13" ht="191.25" customHeight="1" x14ac:dyDescent="0.25">
      <c r="A4" s="254"/>
      <c r="B4" s="241"/>
      <c r="C4" s="241"/>
      <c r="D4" s="241"/>
      <c r="E4" s="241"/>
      <c r="F4" s="241"/>
      <c r="G4" s="241"/>
      <c r="H4" s="312"/>
      <c r="I4" s="312"/>
      <c r="J4" s="312"/>
      <c r="K4" s="312"/>
      <c r="L4" s="312"/>
      <c r="M4" s="312"/>
    </row>
    <row r="5" spans="1:13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</row>
    <row r="6" spans="1:13" s="103" customFormat="1" ht="78" customHeight="1" x14ac:dyDescent="0.25">
      <c r="A6" s="301" t="s">
        <v>47</v>
      </c>
      <c r="B6" s="305">
        <f>M11*99/100</f>
        <v>970.2</v>
      </c>
      <c r="C6" s="305">
        <v>99</v>
      </c>
      <c r="D6" s="305">
        <f>M11-B6</f>
        <v>9.7999999999999545</v>
      </c>
      <c r="E6" s="305"/>
      <c r="F6" s="308">
        <v>1</v>
      </c>
      <c r="G6" s="308">
        <f>D6</f>
        <v>9.7999999999999545</v>
      </c>
      <c r="H6" s="101" t="s">
        <v>196</v>
      </c>
      <c r="I6" s="102" t="s">
        <v>258</v>
      </c>
      <c r="J6" s="102" t="s">
        <v>197</v>
      </c>
      <c r="K6" s="102">
        <v>10</v>
      </c>
      <c r="L6" s="102">
        <v>72</v>
      </c>
      <c r="M6" s="102">
        <v>70</v>
      </c>
    </row>
    <row r="7" spans="1:13" s="103" customFormat="1" ht="45.75" customHeight="1" x14ac:dyDescent="0.25">
      <c r="A7" s="302"/>
      <c r="B7" s="306"/>
      <c r="C7" s="306"/>
      <c r="D7" s="306"/>
      <c r="E7" s="306"/>
      <c r="F7" s="309"/>
      <c r="G7" s="309"/>
      <c r="H7" s="101" t="s">
        <v>196</v>
      </c>
      <c r="I7" s="101" t="s">
        <v>256</v>
      </c>
      <c r="J7" s="102" t="s">
        <v>198</v>
      </c>
      <c r="K7" s="102">
        <v>2</v>
      </c>
      <c r="L7" s="102">
        <v>72</v>
      </c>
      <c r="M7" s="102">
        <v>70</v>
      </c>
    </row>
    <row r="8" spans="1:13" s="103" customFormat="1" ht="54" customHeight="1" x14ac:dyDescent="0.25">
      <c r="A8" s="303"/>
      <c r="B8" s="307"/>
      <c r="C8" s="307"/>
      <c r="D8" s="307"/>
      <c r="E8" s="307"/>
      <c r="F8" s="310"/>
      <c r="G8" s="310"/>
      <c r="H8" s="101" t="s">
        <v>196</v>
      </c>
      <c r="I8" s="102" t="s">
        <v>199</v>
      </c>
      <c r="J8" s="102" t="s">
        <v>197</v>
      </c>
      <c r="K8" s="102">
        <v>2</v>
      </c>
      <c r="L8" s="102">
        <v>72</v>
      </c>
      <c r="M8" s="102">
        <v>70</v>
      </c>
    </row>
    <row r="9" spans="1:13" ht="39" customHeight="1" x14ac:dyDescent="0.25">
      <c r="A9" s="317" t="s">
        <v>41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</row>
    <row r="10" spans="1:13" ht="21.75" customHeight="1" x14ac:dyDescent="0.25">
      <c r="A10" s="313" t="s">
        <v>3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>
        <f>M6*(K6+K7+K8)</f>
        <v>980</v>
      </c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4">
    <mergeCell ref="K3:K4"/>
    <mergeCell ref="L3:L4"/>
    <mergeCell ref="M3:M4"/>
    <mergeCell ref="A10:M10"/>
    <mergeCell ref="A1:M1"/>
    <mergeCell ref="H2:M2"/>
    <mergeCell ref="A9:M9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A6:A8"/>
    <mergeCell ref="G2:G4"/>
    <mergeCell ref="D6:D8"/>
    <mergeCell ref="B6:B8"/>
    <mergeCell ref="C6:C8"/>
    <mergeCell ref="E6:E8"/>
    <mergeCell ref="F6:F8"/>
    <mergeCell ref="G6:G8"/>
  </mergeCells>
  <pageMargins left="0.70866141732283472" right="0.70866141732283472" top="0.35433070866141736" bottom="0.35433070866141736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D5" sqref="D5"/>
    </sheetView>
  </sheetViews>
  <sheetFormatPr defaultRowHeight="15" x14ac:dyDescent="0.25"/>
  <cols>
    <col min="1" max="1" width="13" style="1" customWidth="1"/>
    <col min="2" max="2" width="21.28515625" style="1" customWidth="1"/>
    <col min="3" max="3" width="20.85546875" style="1" customWidth="1"/>
    <col min="4" max="4" width="23.85546875" style="1" customWidth="1"/>
    <col min="5" max="5" width="19.5703125" style="1" customWidth="1"/>
    <col min="6" max="7" width="19" style="1" customWidth="1"/>
    <col min="8" max="9" width="16.5703125" style="1" customWidth="1"/>
    <col min="10" max="10" width="15.85546875" style="1" customWidth="1"/>
    <col min="11" max="11" width="14" style="1" customWidth="1"/>
    <col min="12" max="12" width="19.85546875" style="1" customWidth="1"/>
  </cols>
  <sheetData>
    <row r="1" spans="1:12" ht="66" customHeight="1" x14ac:dyDescent="0.25">
      <c r="A1" s="315" t="s">
        <v>245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2" ht="46.5" customHeight="1" x14ac:dyDescent="0.25">
      <c r="A2" s="319" t="s">
        <v>0</v>
      </c>
      <c r="B2" s="304" t="s">
        <v>70</v>
      </c>
      <c r="C2" s="304" t="s">
        <v>158</v>
      </c>
      <c r="D2" s="304" t="s">
        <v>71</v>
      </c>
      <c r="E2" s="304" t="s">
        <v>246</v>
      </c>
      <c r="F2" s="304" t="s">
        <v>247</v>
      </c>
      <c r="G2" s="304" t="s">
        <v>164</v>
      </c>
      <c r="H2" s="311" t="s">
        <v>248</v>
      </c>
      <c r="I2" s="311"/>
      <c r="J2" s="316"/>
      <c r="K2" s="316"/>
      <c r="L2" s="316"/>
    </row>
    <row r="3" spans="1:12" ht="158.25" customHeight="1" x14ac:dyDescent="0.25">
      <c r="A3" s="320"/>
      <c r="B3" s="240"/>
      <c r="C3" s="240"/>
      <c r="D3" s="240"/>
      <c r="E3" s="240"/>
      <c r="F3" s="240"/>
      <c r="G3" s="240"/>
      <c r="H3" s="311" t="s">
        <v>249</v>
      </c>
      <c r="I3" s="321" t="s">
        <v>250</v>
      </c>
      <c r="J3" s="311" t="s">
        <v>251</v>
      </c>
      <c r="K3" s="311" t="s">
        <v>1</v>
      </c>
      <c r="L3" s="311" t="s">
        <v>252</v>
      </c>
    </row>
    <row r="4" spans="1:12" ht="191.25" customHeight="1" x14ac:dyDescent="0.25">
      <c r="A4" s="254"/>
      <c r="B4" s="241"/>
      <c r="C4" s="241"/>
      <c r="D4" s="241"/>
      <c r="E4" s="241"/>
      <c r="F4" s="241"/>
      <c r="G4" s="241"/>
      <c r="H4" s="312"/>
      <c r="I4" s="322"/>
      <c r="J4" s="312"/>
      <c r="K4" s="312"/>
      <c r="L4" s="312"/>
    </row>
    <row r="5" spans="1:12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24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317" t="s">
        <v>253</v>
      </c>
      <c r="B8" s="317"/>
      <c r="C8" s="317"/>
      <c r="D8" s="317"/>
      <c r="E8" s="317"/>
      <c r="F8" s="317"/>
      <c r="G8" s="317"/>
      <c r="H8" s="317"/>
      <c r="I8" s="317"/>
      <c r="J8" s="317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15">
    <mergeCell ref="A8:J8"/>
    <mergeCell ref="A1:L1"/>
    <mergeCell ref="A2:A4"/>
    <mergeCell ref="B2:B4"/>
    <mergeCell ref="C2:C4"/>
    <mergeCell ref="D2:D4"/>
    <mergeCell ref="E2:E4"/>
    <mergeCell ref="F2:F4"/>
    <mergeCell ref="G2:G4"/>
    <mergeCell ref="H2:L2"/>
    <mergeCell ref="H3:H4"/>
    <mergeCell ref="I3:I4"/>
    <mergeCell ref="J3:J4"/>
    <mergeCell ref="K3:K4"/>
    <mergeCell ref="L3:L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90" zoomScaleNormal="100" zoomScaleSheetLayoutView="90" workbookViewId="0">
      <selection activeCell="F11" sqref="F11"/>
    </sheetView>
  </sheetViews>
  <sheetFormatPr defaultRowHeight="15" x14ac:dyDescent="0.25"/>
  <cols>
    <col min="1" max="1" width="13" style="1" customWidth="1"/>
    <col min="2" max="2" width="20.140625" style="1" customWidth="1"/>
    <col min="3" max="3" width="20.5703125" style="1" customWidth="1"/>
    <col min="4" max="4" width="23.7109375" style="1" customWidth="1"/>
    <col min="5" max="5" width="21.28515625" style="1" customWidth="1"/>
    <col min="6" max="7" width="20.7109375" style="1" customWidth="1"/>
    <col min="8" max="8" width="18.28515625" style="1" customWidth="1"/>
    <col min="9" max="9" width="16.28515625" style="1" customWidth="1"/>
    <col min="10" max="11" width="21" style="1" customWidth="1"/>
    <col min="12" max="12" width="20.7109375" style="1" customWidth="1"/>
  </cols>
  <sheetData>
    <row r="1" spans="1:12" ht="111" customHeight="1" x14ac:dyDescent="0.25">
      <c r="A1" s="315" t="s">
        <v>34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2" ht="61.5" customHeight="1" x14ac:dyDescent="0.25">
      <c r="A2" s="319" t="s">
        <v>0</v>
      </c>
      <c r="B2" s="304" t="s">
        <v>70</v>
      </c>
      <c r="C2" s="304" t="s">
        <v>158</v>
      </c>
      <c r="D2" s="304" t="s">
        <v>71</v>
      </c>
      <c r="E2" s="304" t="s">
        <v>165</v>
      </c>
      <c r="F2" s="304" t="s">
        <v>166</v>
      </c>
      <c r="G2" s="304" t="s">
        <v>167</v>
      </c>
      <c r="H2" s="311" t="s">
        <v>37</v>
      </c>
      <c r="I2" s="316"/>
      <c r="J2" s="316"/>
      <c r="K2" s="316"/>
      <c r="L2" s="316"/>
    </row>
    <row r="3" spans="1:12" ht="177" customHeight="1" x14ac:dyDescent="0.25">
      <c r="A3" s="320"/>
      <c r="B3" s="240"/>
      <c r="C3" s="240"/>
      <c r="D3" s="240"/>
      <c r="E3" s="240"/>
      <c r="F3" s="240"/>
      <c r="G3" s="240"/>
      <c r="H3" s="311" t="s">
        <v>6</v>
      </c>
      <c r="I3" s="311" t="s">
        <v>4</v>
      </c>
      <c r="J3" s="311" t="s">
        <v>5</v>
      </c>
      <c r="K3" s="311" t="s">
        <v>40</v>
      </c>
      <c r="L3" s="246"/>
    </row>
    <row r="4" spans="1:12" ht="105" customHeight="1" x14ac:dyDescent="0.25">
      <c r="A4" s="254"/>
      <c r="B4" s="241"/>
      <c r="C4" s="241"/>
      <c r="D4" s="241"/>
      <c r="E4" s="241"/>
      <c r="F4" s="241"/>
      <c r="G4" s="241"/>
      <c r="H4" s="312"/>
      <c r="I4" s="312"/>
      <c r="J4" s="312"/>
      <c r="K4" s="9" t="s">
        <v>39</v>
      </c>
      <c r="L4" s="9" t="s">
        <v>38</v>
      </c>
    </row>
    <row r="5" spans="1:12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24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customHeight="1" x14ac:dyDescent="0.25">
      <c r="A7" s="323" t="s">
        <v>36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mergeCells count="14">
    <mergeCell ref="K3:L3"/>
    <mergeCell ref="A7:L7"/>
    <mergeCell ref="H2:L2"/>
    <mergeCell ref="A1:L1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</mergeCells>
  <pageMargins left="0.51181102362204722" right="0.51181102362204722" top="0.35433070866141736" bottom="0.35433070866141736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"/>
  <sheetViews>
    <sheetView tabSelected="1" view="pageBreakPreview" zoomScale="57" zoomScaleNormal="75" zoomScaleSheetLayoutView="57" workbookViewId="0">
      <selection activeCell="P29" sqref="P29"/>
    </sheetView>
  </sheetViews>
  <sheetFormatPr defaultRowHeight="15" x14ac:dyDescent="0.25"/>
  <cols>
    <col min="1" max="1" width="12.7109375" customWidth="1"/>
    <col min="2" max="2" width="18" customWidth="1"/>
    <col min="3" max="3" width="14.5703125" customWidth="1"/>
    <col min="4" max="4" width="19.28515625" customWidth="1"/>
    <col min="5" max="5" width="10.28515625" customWidth="1"/>
    <col min="6" max="6" width="14.5703125" customWidth="1"/>
    <col min="7" max="7" width="14.42578125" customWidth="1"/>
    <col min="8" max="8" width="11.42578125" customWidth="1"/>
    <col min="9" max="9" width="20" customWidth="1"/>
    <col min="10" max="10" width="12.140625" customWidth="1"/>
    <col min="11" max="11" width="12.85546875" customWidth="1"/>
    <col min="12" max="12" width="14.5703125" customWidth="1"/>
    <col min="13" max="13" width="12.42578125" customWidth="1"/>
    <col min="14" max="14" width="16.5703125" customWidth="1"/>
    <col min="15" max="15" width="10.28515625" customWidth="1"/>
    <col min="16" max="17" width="14.42578125" customWidth="1"/>
    <col min="18" max="18" width="12.7109375" customWidth="1"/>
    <col min="19" max="19" width="13.28515625" customWidth="1"/>
    <col min="20" max="20" width="14.140625" customWidth="1"/>
    <col min="21" max="21" width="11.28515625" customWidth="1"/>
    <col min="22" max="22" width="14.140625" customWidth="1"/>
    <col min="23" max="23" width="14.5703125" customWidth="1"/>
    <col min="24" max="29" width="13" customWidth="1"/>
    <col min="30" max="30" width="11.140625" customWidth="1"/>
    <col min="31" max="32" width="14.140625" customWidth="1"/>
    <col min="33" max="33" width="12.7109375" customWidth="1"/>
    <col min="34" max="34" width="19" customWidth="1"/>
  </cols>
  <sheetData>
    <row r="1" spans="1:59" ht="59.25" customHeight="1" x14ac:dyDescent="0.25">
      <c r="A1" s="315" t="s">
        <v>44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8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5"/>
      <c r="BF1" s="5"/>
      <c r="BG1" s="5"/>
    </row>
    <row r="2" spans="1:59" ht="108.75" customHeight="1" x14ac:dyDescent="0.25">
      <c r="A2" s="325" t="s">
        <v>0</v>
      </c>
      <c r="B2" s="327" t="s">
        <v>70</v>
      </c>
      <c r="C2" s="327" t="s">
        <v>158</v>
      </c>
      <c r="D2" s="327" t="s">
        <v>71</v>
      </c>
      <c r="E2" s="327" t="s">
        <v>254</v>
      </c>
      <c r="F2" s="332"/>
      <c r="G2" s="332"/>
      <c r="H2" s="332"/>
      <c r="I2" s="332"/>
      <c r="J2" s="327" t="s">
        <v>159</v>
      </c>
      <c r="K2" s="327"/>
      <c r="L2" s="327"/>
      <c r="M2" s="327"/>
      <c r="N2" s="332"/>
      <c r="O2" s="327" t="s">
        <v>160</v>
      </c>
      <c r="P2" s="327"/>
      <c r="Q2" s="327"/>
      <c r="R2" s="327"/>
      <c r="S2" s="333"/>
      <c r="T2" s="325" t="s">
        <v>200</v>
      </c>
      <c r="U2" s="325"/>
      <c r="V2" s="325"/>
      <c r="W2" s="325"/>
      <c r="X2" s="325"/>
      <c r="Y2" s="329" t="s">
        <v>257</v>
      </c>
      <c r="Z2" s="330"/>
      <c r="AA2" s="330"/>
      <c r="AB2" s="330"/>
      <c r="AC2" s="331"/>
      <c r="AD2" s="329" t="s">
        <v>161</v>
      </c>
      <c r="AE2" s="330"/>
      <c r="AF2" s="330"/>
      <c r="AG2" s="330"/>
      <c r="AH2" s="331"/>
    </row>
    <row r="3" spans="1:59" ht="264" customHeight="1" x14ac:dyDescent="0.25">
      <c r="A3" s="326"/>
      <c r="B3" s="328"/>
      <c r="C3" s="327"/>
      <c r="D3" s="312"/>
      <c r="E3" s="112" t="s">
        <v>42</v>
      </c>
      <c r="F3" s="112" t="s">
        <v>45</v>
      </c>
      <c r="G3" s="113" t="s">
        <v>46</v>
      </c>
      <c r="H3" s="112" t="s">
        <v>22</v>
      </c>
      <c r="I3" s="113" t="s">
        <v>43</v>
      </c>
      <c r="J3" s="112" t="s">
        <v>24</v>
      </c>
      <c r="K3" s="112" t="s">
        <v>23</v>
      </c>
      <c r="L3" s="113" t="s">
        <v>46</v>
      </c>
      <c r="M3" s="112" t="s">
        <v>22</v>
      </c>
      <c r="N3" s="113" t="s">
        <v>43</v>
      </c>
      <c r="O3" s="112" t="s">
        <v>24</v>
      </c>
      <c r="P3" s="112" t="s">
        <v>23</v>
      </c>
      <c r="Q3" s="113" t="s">
        <v>46</v>
      </c>
      <c r="R3" s="112" t="s">
        <v>22</v>
      </c>
      <c r="S3" s="112" t="s">
        <v>25</v>
      </c>
      <c r="T3" s="112" t="s">
        <v>24</v>
      </c>
      <c r="U3" s="112" t="s">
        <v>23</v>
      </c>
      <c r="V3" s="113" t="s">
        <v>46</v>
      </c>
      <c r="W3" s="112" t="s">
        <v>22</v>
      </c>
      <c r="X3" s="113" t="s">
        <v>43</v>
      </c>
      <c r="Y3" s="225" t="s">
        <v>24</v>
      </c>
      <c r="Z3" s="225" t="s">
        <v>23</v>
      </c>
      <c r="AA3" s="226" t="s">
        <v>46</v>
      </c>
      <c r="AB3" s="225" t="s">
        <v>22</v>
      </c>
      <c r="AC3" s="226" t="s">
        <v>43</v>
      </c>
      <c r="AD3" s="225" t="s">
        <v>24</v>
      </c>
      <c r="AE3" s="225" t="s">
        <v>23</v>
      </c>
      <c r="AF3" s="226" t="s">
        <v>46</v>
      </c>
      <c r="AG3" s="225" t="s">
        <v>22</v>
      </c>
      <c r="AH3" s="226" t="s">
        <v>43</v>
      </c>
    </row>
    <row r="4" spans="1:59" ht="15.7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3">
        <v>31</v>
      </c>
      <c r="AF4" s="3">
        <v>32</v>
      </c>
      <c r="AG4" s="3">
        <v>33</v>
      </c>
      <c r="AH4" s="3">
        <v>34</v>
      </c>
    </row>
    <row r="5" spans="1:59" s="108" customFormat="1" ht="41.25" customHeight="1" x14ac:dyDescent="0.25">
      <c r="A5" s="104" t="s">
        <v>47</v>
      </c>
      <c r="B5" s="106">
        <f>F5+K5+P5+U5+AE5</f>
        <v>31463.378100000002</v>
      </c>
      <c r="C5" s="104">
        <v>99</v>
      </c>
      <c r="D5" s="224">
        <f>H5+M5+R5+W5+AG5</f>
        <v>317.81189999999998</v>
      </c>
      <c r="E5" s="105"/>
      <c r="F5" s="105"/>
      <c r="G5" s="105"/>
      <c r="H5" s="105"/>
      <c r="I5" s="106"/>
      <c r="J5" s="106">
        <v>30801.19</v>
      </c>
      <c r="K5" s="106">
        <f>J5*99/100</f>
        <v>30493.178100000001</v>
      </c>
      <c r="L5" s="221">
        <f>K5/B5*100</f>
        <v>96.916415024107025</v>
      </c>
      <c r="M5" s="106">
        <f>J5*1/100</f>
        <v>308.01189999999997</v>
      </c>
      <c r="N5" s="106">
        <f>M5/D5*100</f>
        <v>96.916415024107025</v>
      </c>
      <c r="O5" s="106"/>
      <c r="P5" s="106"/>
      <c r="Q5" s="104"/>
      <c r="R5" s="104"/>
      <c r="S5" s="104"/>
      <c r="T5" s="104">
        <v>980</v>
      </c>
      <c r="U5" s="106">
        <f>T5*99/100</f>
        <v>970.2</v>
      </c>
      <c r="V5" s="106">
        <f>ROUND(U5/B5*100,1)</f>
        <v>3.1</v>
      </c>
      <c r="W5" s="104">
        <f>T5*1/100</f>
        <v>9.8000000000000007</v>
      </c>
      <c r="X5" s="106">
        <f>W5/D5*100</f>
        <v>3.0835849758929736</v>
      </c>
      <c r="Y5" s="105"/>
      <c r="Z5" s="105"/>
      <c r="AA5" s="105"/>
      <c r="AB5" s="105"/>
      <c r="AC5" s="105"/>
      <c r="AD5" s="104"/>
      <c r="AE5" s="104"/>
      <c r="AF5" s="104"/>
      <c r="AG5" s="104"/>
      <c r="AH5" s="107"/>
    </row>
    <row r="6" spans="1:59" x14ac:dyDescent="0.25">
      <c r="A6" s="111" t="s">
        <v>255</v>
      </c>
      <c r="B6" s="219">
        <f>B5+D5</f>
        <v>31781.190000000002</v>
      </c>
      <c r="E6" s="95"/>
      <c r="J6" s="219">
        <f>K5+M5</f>
        <v>30801.190000000002</v>
      </c>
    </row>
    <row r="7" spans="1:59" x14ac:dyDescent="0.25">
      <c r="B7" s="219">
        <f>B6*2</f>
        <v>63562.380000000005</v>
      </c>
      <c r="J7" s="220">
        <v>30801.19</v>
      </c>
    </row>
    <row r="8" spans="1:59" x14ac:dyDescent="0.25">
      <c r="B8" s="219">
        <f>G5+L5+Q5+V5+AF5</f>
        <v>100.01641502410702</v>
      </c>
      <c r="D8" s="95">
        <f>I5+N5+S5+X5+AH5</f>
        <v>100</v>
      </c>
      <c r="J8" s="100"/>
    </row>
    <row r="9" spans="1:59" x14ac:dyDescent="0.25">
      <c r="J9" s="100"/>
    </row>
    <row r="10" spans="1:59" x14ac:dyDescent="0.25">
      <c r="J10" s="100"/>
    </row>
    <row r="11" spans="1:59" x14ac:dyDescent="0.25">
      <c r="J11" s="100"/>
      <c r="Q11" s="219">
        <f>B5+D5</f>
        <v>31781.190000000002</v>
      </c>
    </row>
    <row r="12" spans="1:59" x14ac:dyDescent="0.25">
      <c r="J12" s="99"/>
    </row>
    <row r="13" spans="1:59" x14ac:dyDescent="0.25">
      <c r="P13" s="219">
        <f>J5+T5</f>
        <v>31781.19</v>
      </c>
      <c r="Q13" s="219">
        <f>K5+U5</f>
        <v>31463.378100000002</v>
      </c>
      <c r="R13" s="219">
        <f>L5+V5</f>
        <v>100.01641502410702</v>
      </c>
    </row>
    <row r="14" spans="1:59" x14ac:dyDescent="0.25">
      <c r="Q14" s="219">
        <f>M5+W5</f>
        <v>317.81189999999998</v>
      </c>
      <c r="R14" s="219">
        <f>N5+X5</f>
        <v>100</v>
      </c>
    </row>
  </sheetData>
  <mergeCells count="11">
    <mergeCell ref="A1:Q1"/>
    <mergeCell ref="A2:A3"/>
    <mergeCell ref="B2:B3"/>
    <mergeCell ref="T2:X2"/>
    <mergeCell ref="AD2:AH2"/>
    <mergeCell ref="E2:I2"/>
    <mergeCell ref="J2:N2"/>
    <mergeCell ref="O2:S2"/>
    <mergeCell ref="C2:C3"/>
    <mergeCell ref="D2:D3"/>
    <mergeCell ref="Y2:AC2"/>
  </mergeCells>
  <pageMargins left="0.31496062992125984" right="0.31496062992125984" top="0.74803149606299213" bottom="0.74803149606299213" header="0.31496062992125984" footer="0.31496062992125984"/>
  <pageSetup paperSize="9" scale="52" fitToWidth="0" orientation="landscape" r:id="rId1"/>
  <colBreaks count="1" manualBreakCount="1">
    <brk id="19" max="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Организация СП</vt:lpstr>
      <vt:lpstr>Реаб оборудование+оргтехника </vt:lpstr>
      <vt:lpstr>Обучение специалистов</vt:lpstr>
      <vt:lpstr>Обучение инвалидов</vt:lpstr>
      <vt:lpstr>Информатизация</vt:lpstr>
      <vt:lpstr>Таблица деньги все</vt:lpstr>
      <vt:lpstr>Информатизация!Область_печати</vt:lpstr>
      <vt:lpstr>'Обучение специалистов'!Область_печати</vt:lpstr>
      <vt:lpstr>'Реаб оборудование+оргтехника '!Область_печати</vt:lpstr>
      <vt:lpstr>'Таблица деньги все'!Область_печати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2020-04-28T14:19:11Z</dcterms:modified>
</cp:coreProperties>
</file>